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https://nercacuk-my.sharepoint.com/personal/adixon_bgs_ac_uk/Documents/Desktop/"/>
    </mc:Choice>
  </mc:AlternateContent>
  <xr:revisionPtr revIDLastSave="0" documentId="8_{C4DCF34C-784D-4A4B-8647-39CBABF8957D}" xr6:coauthVersionLast="47" xr6:coauthVersionMax="47" xr10:uidLastSave="{00000000-0000-0000-0000-000000000000}"/>
  <bookViews>
    <workbookView xWindow="-110" yWindow="-110" windowWidth="19420" windowHeight="10420" tabRatio="944" xr2:uid="{8819BA18-B8B2-47B2-A43A-0CE051DB03B2}"/>
  </bookViews>
  <sheets>
    <sheet name="Title" sheetId="110" r:id="rId1"/>
    <sheet name="Explanatory notes" sheetId="1" r:id="rId2"/>
    <sheet name="Contents" sheetId="2"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3" r:id="rId24"/>
    <sheet name="22" sheetId="24" r:id="rId25"/>
    <sheet name="23" sheetId="25" r:id="rId26"/>
    <sheet name="24" sheetId="26" r:id="rId27"/>
    <sheet name="25" sheetId="27" r:id="rId28"/>
    <sheet name="26" sheetId="28" r:id="rId29"/>
    <sheet name="27" sheetId="29" r:id="rId30"/>
    <sheet name="28" sheetId="30" r:id="rId31"/>
    <sheet name="29" sheetId="31" r:id="rId32"/>
    <sheet name="30" sheetId="32" r:id="rId33"/>
    <sheet name="31" sheetId="33" r:id="rId34"/>
    <sheet name="32" sheetId="34" r:id="rId35"/>
    <sheet name="33" sheetId="35" r:id="rId36"/>
    <sheet name="34" sheetId="36" r:id="rId37"/>
    <sheet name="35" sheetId="37" r:id="rId38"/>
    <sheet name="36" sheetId="38" r:id="rId39"/>
    <sheet name="37" sheetId="39" r:id="rId40"/>
    <sheet name="38" sheetId="40" r:id="rId41"/>
    <sheet name="39" sheetId="41" r:id="rId42"/>
    <sheet name="40" sheetId="42" r:id="rId43"/>
    <sheet name="41" sheetId="43" r:id="rId44"/>
    <sheet name="42" sheetId="44" r:id="rId45"/>
    <sheet name="43" sheetId="45" r:id="rId46"/>
    <sheet name="44" sheetId="46" r:id="rId47"/>
    <sheet name="45" sheetId="47" r:id="rId48"/>
    <sheet name="46" sheetId="76" r:id="rId49"/>
    <sheet name="47" sheetId="48" r:id="rId50"/>
    <sheet name="48" sheetId="49" r:id="rId51"/>
    <sheet name="49" sheetId="50" r:id="rId52"/>
    <sheet name="50" sheetId="51" r:id="rId53"/>
    <sheet name="51" sheetId="52" r:id="rId54"/>
    <sheet name="52" sheetId="53" r:id="rId55"/>
    <sheet name="53" sheetId="54" r:id="rId56"/>
    <sheet name="54" sheetId="55" r:id="rId57"/>
    <sheet name="55" sheetId="56" r:id="rId58"/>
    <sheet name="56" sheetId="57" r:id="rId59"/>
    <sheet name="57" sheetId="58" r:id="rId60"/>
    <sheet name="58" sheetId="59" r:id="rId61"/>
    <sheet name="59" sheetId="60" r:id="rId62"/>
    <sheet name="60" sheetId="61" r:id="rId63"/>
    <sheet name="61" sheetId="62" r:id="rId64"/>
    <sheet name="62" sheetId="63" r:id="rId65"/>
    <sheet name="63" sheetId="64" r:id="rId66"/>
    <sheet name="64" sheetId="65" r:id="rId67"/>
    <sheet name="65" sheetId="66" r:id="rId68"/>
    <sheet name="66" sheetId="67" r:id="rId69"/>
    <sheet name="67" sheetId="68" r:id="rId70"/>
    <sheet name="68" sheetId="69" r:id="rId71"/>
    <sheet name="69" sheetId="70" r:id="rId72"/>
    <sheet name="70" sheetId="71" r:id="rId73"/>
    <sheet name="71" sheetId="72" r:id="rId74"/>
    <sheet name="72" sheetId="73" r:id="rId75"/>
    <sheet name="73" sheetId="74" r:id="rId76"/>
    <sheet name="74" sheetId="75" r:id="rId77"/>
    <sheet name="75" sheetId="78" r:id="rId78"/>
    <sheet name="76" sheetId="79" r:id="rId79"/>
    <sheet name="77" sheetId="77" r:id="rId80"/>
    <sheet name="78" sheetId="80" r:id="rId81"/>
    <sheet name="79" sheetId="81" r:id="rId82"/>
    <sheet name="80" sheetId="82" r:id="rId83"/>
    <sheet name="81" sheetId="83" r:id="rId84"/>
    <sheet name="82" sheetId="84" r:id="rId85"/>
    <sheet name="83" sheetId="85" r:id="rId86"/>
    <sheet name="84" sheetId="86" r:id="rId87"/>
    <sheet name="85" sheetId="87" r:id="rId88"/>
    <sheet name="86" sheetId="88" r:id="rId89"/>
    <sheet name="87" sheetId="89" r:id="rId90"/>
    <sheet name="88" sheetId="90" r:id="rId91"/>
    <sheet name="89" sheetId="91" r:id="rId92"/>
    <sheet name="90" sheetId="92" r:id="rId93"/>
    <sheet name="91" sheetId="93" r:id="rId94"/>
    <sheet name="92" sheetId="94" r:id="rId95"/>
    <sheet name="93" sheetId="95" r:id="rId96"/>
    <sheet name="94" sheetId="96" r:id="rId97"/>
    <sheet name="95" sheetId="97" r:id="rId98"/>
    <sheet name="96" sheetId="98" r:id="rId99"/>
    <sheet name="97" sheetId="99" r:id="rId100"/>
    <sheet name="98" sheetId="100" r:id="rId101"/>
    <sheet name="99" sheetId="101" r:id="rId102"/>
    <sheet name="100" sheetId="102" r:id="rId103"/>
    <sheet name="101" sheetId="103" r:id="rId104"/>
    <sheet name="102" sheetId="104" r:id="rId105"/>
    <sheet name="103" sheetId="105" r:id="rId106"/>
    <sheet name="105" sheetId="107" r:id="rId107"/>
    <sheet name="104" sheetId="106" r:id="rId108"/>
    <sheet name="106" sheetId="108" r:id="rId109"/>
    <sheet name="107" sheetId="109" r:id="rId110"/>
  </sheets>
  <definedNames>
    <definedName name="_xlnm.Print_Area" localSheetId="2">Contents!$A$1:$B$117</definedName>
    <definedName name="_xlnm.Print_Area" localSheetId="1">'Explanatory notes'!$A$1:$I$146</definedName>
    <definedName name="_xlnm.Print_Area" localSheetId="0">Title!$A$1:$I$80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109" l="1"/>
  <c r="A29" i="108"/>
  <c r="A19" i="106"/>
  <c r="A14" i="107"/>
  <c r="A45" i="105"/>
  <c r="A48" i="104"/>
  <c r="A30" i="103"/>
  <c r="A11" i="102"/>
  <c r="A24" i="101"/>
  <c r="A13" i="100"/>
  <c r="A29" i="99"/>
  <c r="A11" i="98"/>
  <c r="A26" i="97"/>
  <c r="A30" i="96"/>
  <c r="A23" i="95"/>
  <c r="A35" i="94"/>
  <c r="A18" i="93"/>
  <c r="A11" i="92"/>
  <c r="A18" i="91"/>
  <c r="A19" i="90"/>
  <c r="A19" i="89"/>
  <c r="A15" i="88"/>
  <c r="A27" i="87"/>
  <c r="A11" i="86"/>
  <c r="A15" i="85"/>
  <c r="A15" i="84"/>
  <c r="A11" i="83"/>
  <c r="A18" i="82"/>
  <c r="A18" i="81"/>
  <c r="A22" i="80"/>
  <c r="A28" i="77"/>
  <c r="A27" i="79"/>
  <c r="A51" i="78"/>
  <c r="A28" i="75"/>
  <c r="A14" i="74"/>
  <c r="A11" i="73"/>
  <c r="A48" i="72"/>
  <c r="A11" i="71"/>
  <c r="A45" i="70"/>
  <c r="A28" i="69"/>
  <c r="A11" i="68"/>
  <c r="A19" i="67"/>
  <c r="A47" i="66"/>
  <c r="A27" i="65"/>
  <c r="A39" i="64"/>
  <c r="A17" i="63"/>
  <c r="A15" i="62"/>
  <c r="A30" i="61"/>
  <c r="A54" i="60"/>
  <c r="A17" i="59"/>
  <c r="A40" i="58"/>
  <c r="A17" i="57"/>
  <c r="A15" i="56"/>
  <c r="A11" i="55"/>
  <c r="A24" i="54"/>
  <c r="A18" i="53"/>
  <c r="A11" i="52"/>
  <c r="A22" i="51"/>
  <c r="A21" i="50"/>
  <c r="A25" i="49"/>
  <c r="A11" i="48"/>
  <c r="A31" i="76"/>
  <c r="A16" i="47"/>
  <c r="A19" i="46"/>
  <c r="A15" i="45"/>
  <c r="A14" i="44"/>
  <c r="A31" i="43"/>
  <c r="A13" i="42"/>
  <c r="A18" i="41"/>
  <c r="A48" i="40"/>
  <c r="A21" i="39"/>
  <c r="A33" i="38"/>
  <c r="A35" i="37"/>
  <c r="A14" i="36"/>
  <c r="A13" i="35"/>
  <c r="A40" i="34"/>
  <c r="A17" i="33"/>
  <c r="A32" i="32"/>
  <c r="A27" i="31"/>
  <c r="A45" i="30"/>
  <c r="A13" i="29"/>
  <c r="A16" i="28"/>
  <c r="A14" i="27"/>
  <c r="A13" i="26"/>
  <c r="A15" i="25"/>
  <c r="A11" i="24"/>
  <c r="A14" i="23"/>
  <c r="A17" i="22"/>
  <c r="A16" i="21"/>
  <c r="A11" i="20"/>
  <c r="A23" i="19"/>
  <c r="A11" i="18"/>
  <c r="A19" i="17"/>
  <c r="A27" i="16"/>
  <c r="A33" i="15"/>
  <c r="A30" i="14"/>
  <c r="A23" i="13"/>
  <c r="A54" i="12"/>
  <c r="A32" i="11"/>
  <c r="A44" i="10"/>
  <c r="A40" i="9"/>
  <c r="A60" i="8"/>
  <c r="A65" i="7"/>
  <c r="A18" i="6"/>
  <c r="A51" i="5"/>
  <c r="A68" i="4"/>
  <c r="A38" i="3"/>
  <c r="B116" i="2"/>
  <c r="B115" i="2"/>
  <c r="B114" i="2"/>
  <c r="B113" i="2"/>
  <c r="B112" i="2"/>
  <c r="B111" i="2"/>
  <c r="B110" i="2"/>
  <c r="B109" i="2"/>
  <c r="B108" i="2"/>
  <c r="B107" i="2"/>
  <c r="B106" i="2"/>
  <c r="B105" i="2"/>
  <c r="B104" i="2"/>
  <c r="B103" i="2"/>
  <c r="B102" i="2"/>
  <c r="B101" i="2"/>
  <c r="B100" i="2"/>
  <c r="B99" i="2"/>
  <c r="B97" i="2"/>
  <c r="B96" i="2"/>
  <c r="B95" i="2"/>
  <c r="B94" i="2"/>
  <c r="B93" i="2"/>
  <c r="B92" i="2"/>
  <c r="B91" i="2"/>
  <c r="B90" i="2"/>
  <c r="B89" i="2"/>
  <c r="B88" i="2"/>
  <c r="B87" i="2"/>
  <c r="B86" i="2"/>
  <c r="B85" i="2"/>
  <c r="B84" i="2"/>
  <c r="B83" i="2"/>
  <c r="B82" i="2"/>
  <c r="B81" i="2"/>
  <c r="B80" i="2"/>
  <c r="B78" i="2"/>
  <c r="B77" i="2"/>
  <c r="B76" i="2"/>
  <c r="B75" i="2"/>
  <c r="B74" i="2"/>
  <c r="B73" i="2"/>
  <c r="B72" i="2"/>
  <c r="B71" i="2"/>
  <c r="B70" i="2"/>
  <c r="B69" i="2"/>
  <c r="B68" i="2"/>
  <c r="B67" i="2"/>
  <c r="B66" i="2"/>
  <c r="B65" i="2"/>
  <c r="B64" i="2"/>
  <c r="B63" i="2"/>
  <c r="B62" i="2"/>
  <c r="B61" i="2"/>
  <c r="B60" i="2"/>
  <c r="B59" i="2"/>
  <c r="B58" i="2"/>
  <c r="B57" i="2"/>
  <c r="B56" i="2"/>
  <c r="B54" i="2"/>
  <c r="B53" i="2"/>
  <c r="B52" i="2"/>
  <c r="B51" i="2"/>
  <c r="B50" i="2"/>
  <c r="B49" i="2"/>
  <c r="B47" i="2"/>
  <c r="B46" i="2"/>
  <c r="B45" i="2"/>
  <c r="B44" i="2"/>
  <c r="B43" i="2"/>
  <c r="B42" i="2"/>
  <c r="B41" i="2"/>
  <c r="B40" i="2"/>
  <c r="B39" i="2"/>
  <c r="B38" i="2"/>
  <c r="B37" i="2"/>
  <c r="B35"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Bide - BGS</author>
  </authors>
  <commentList>
    <comment ref="I21" authorId="0" shapeId="0" xr:uid="{9C829241-3515-47EA-80E3-6C8CCB8C3F75}">
      <text>
        <r>
          <rPr>
            <b/>
            <sz val="9"/>
            <color indexed="81"/>
            <rFont val="Tahoma"/>
            <family val="2"/>
          </rPr>
          <t>Tom Bide - BGS:</t>
        </r>
        <r>
          <rPr>
            <sz val="9"/>
            <color indexed="81"/>
            <rFont val="Tahoma"/>
            <family val="2"/>
          </rPr>
          <t xml:space="preserve">
Updated 12/09/24 due to updated company figures </t>
        </r>
      </text>
    </comment>
    <comment ref="K21" authorId="0" shapeId="0" xr:uid="{DDE50D2D-6C83-4389-8DD2-A28CE6C5EE6D}">
      <text>
        <r>
          <rPr>
            <b/>
            <sz val="9"/>
            <color indexed="81"/>
            <rFont val="Tahoma"/>
            <family val="2"/>
          </rPr>
          <t>Tom Bide - BGS:</t>
        </r>
        <r>
          <rPr>
            <sz val="9"/>
            <color indexed="81"/>
            <rFont val="Tahoma"/>
            <family val="2"/>
          </rPr>
          <t xml:space="preserve">
Updated 12/09/24 due to updated company figures </t>
        </r>
      </text>
    </comment>
    <comment ref="K22" authorId="0" shapeId="0" xr:uid="{E20C1035-2518-4ED9-A3D8-154BC19F5AE0}">
      <text>
        <r>
          <rPr>
            <b/>
            <sz val="9"/>
            <color indexed="81"/>
            <rFont val="Tahoma"/>
            <family val="2"/>
          </rPr>
          <t>Tom Bide - BGS:</t>
        </r>
        <r>
          <rPr>
            <sz val="9"/>
            <color indexed="81"/>
            <rFont val="Tahoma"/>
            <family val="2"/>
          </rPr>
          <t xml:space="preserve">
Updated 12/09/24 due to updated company figures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Bide - BGS</author>
  </authors>
  <commentList>
    <comment ref="I17" authorId="0" shapeId="0" xr:uid="{7125F299-7766-4E7A-A840-106F2CB083B5}">
      <text>
        <r>
          <rPr>
            <b/>
            <sz val="9"/>
            <color indexed="81"/>
            <rFont val="Tahoma"/>
            <family val="2"/>
          </rPr>
          <t>Tom Bide - BGS:</t>
        </r>
        <r>
          <rPr>
            <sz val="9"/>
            <color indexed="81"/>
            <rFont val="Tahoma"/>
            <family val="2"/>
          </rPr>
          <t xml:space="preserve">
Updated 12/09/24 due to updated company figures </t>
        </r>
      </text>
    </comment>
    <comment ref="K17" authorId="0" shapeId="0" xr:uid="{77E7A5C7-6057-4FB0-82C9-5B7020166D4C}">
      <text>
        <r>
          <rPr>
            <b/>
            <sz val="9"/>
            <color indexed="81"/>
            <rFont val="Tahoma"/>
            <family val="2"/>
          </rPr>
          <t>Tom Bide - BGS:</t>
        </r>
        <r>
          <rPr>
            <sz val="9"/>
            <color indexed="81"/>
            <rFont val="Tahoma"/>
            <family val="2"/>
          </rPr>
          <t xml:space="preserve">
Updated 12/09/24 due to updated company figures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Bide - BGS</author>
  </authors>
  <commentList>
    <comment ref="K15" authorId="0" shapeId="0" xr:uid="{62B88F5C-C61C-44F4-90EC-9A498D4D7709}">
      <text>
        <r>
          <rPr>
            <b/>
            <sz val="9"/>
            <color indexed="81"/>
            <rFont val="Tahoma"/>
            <charset val="1"/>
          </rPr>
          <t>Tom Bide - BGS:</t>
        </r>
        <r>
          <rPr>
            <sz val="9"/>
            <color indexed="81"/>
            <rFont val="Tahoma"/>
            <charset val="1"/>
          </rPr>
          <t xml:space="preserve">
Updated 12/09/24 due to updated company figures </t>
        </r>
      </text>
    </comment>
    <comment ref="C17" authorId="0" shapeId="0" xr:uid="{F8AFDFA1-1A2F-44FF-8EEB-FC2E20E56A47}">
      <text>
        <r>
          <rPr>
            <b/>
            <sz val="9"/>
            <color indexed="81"/>
            <rFont val="Tahoma"/>
            <charset val="1"/>
          </rPr>
          <t>Tom Bide - BGS:</t>
        </r>
        <r>
          <rPr>
            <sz val="9"/>
            <color indexed="81"/>
            <rFont val="Tahoma"/>
            <charset val="1"/>
          </rPr>
          <t xml:space="preserve">
Updated 12/09/24 due to updated company figures </t>
        </r>
      </text>
    </comment>
    <comment ref="E17" authorId="0" shapeId="0" xr:uid="{969E8EB4-2278-4509-878D-35B808BCA55E}">
      <text>
        <r>
          <rPr>
            <b/>
            <sz val="9"/>
            <color indexed="81"/>
            <rFont val="Tahoma"/>
            <charset val="1"/>
          </rPr>
          <t>Tom Bide - BGS:</t>
        </r>
        <r>
          <rPr>
            <sz val="9"/>
            <color indexed="81"/>
            <rFont val="Tahoma"/>
            <charset val="1"/>
          </rPr>
          <t xml:space="preserve">
</t>
        </r>
        <r>
          <rPr>
            <sz val="9"/>
            <color indexed="81"/>
            <rFont val="Tahoma"/>
            <family val="2"/>
          </rPr>
          <t xml:space="preserve">Updated 12/09/24 due to updated company figures </t>
        </r>
      </text>
    </comment>
    <comment ref="G17" authorId="0" shapeId="0" xr:uid="{398CE0E3-48F2-4682-8AE5-38C73EBD46E3}">
      <text>
        <r>
          <rPr>
            <b/>
            <sz val="9"/>
            <color indexed="81"/>
            <rFont val="Tahoma"/>
            <family val="2"/>
          </rPr>
          <t>Tom Bide - BGS:</t>
        </r>
        <r>
          <rPr>
            <sz val="9"/>
            <color indexed="81"/>
            <rFont val="Tahoma"/>
            <family val="2"/>
          </rPr>
          <t xml:space="preserve">
Updated 12/09/24 due to updated company figures </t>
        </r>
      </text>
    </comment>
    <comment ref="I17" authorId="0" shapeId="0" xr:uid="{D252A958-B742-4742-B2A3-8012236E519C}">
      <text>
        <r>
          <rPr>
            <b/>
            <sz val="9"/>
            <color indexed="81"/>
            <rFont val="Tahoma"/>
            <family val="2"/>
          </rPr>
          <t>Tom Bide - BGS:</t>
        </r>
        <r>
          <rPr>
            <sz val="9"/>
            <color indexed="81"/>
            <rFont val="Tahoma"/>
            <family val="2"/>
          </rPr>
          <t xml:space="preserve">
Updated 12/09/24 due to updated company figures </t>
        </r>
      </text>
    </comment>
    <comment ref="K17" authorId="0" shapeId="0" xr:uid="{7114F6B1-759D-45D6-BBE0-0BD2AC1DFABD}">
      <text>
        <r>
          <rPr>
            <b/>
            <sz val="9"/>
            <color indexed="81"/>
            <rFont val="Tahoma"/>
            <family val="2"/>
          </rPr>
          <t>Tom Bide - BGS:</t>
        </r>
        <r>
          <rPr>
            <sz val="9"/>
            <color indexed="81"/>
            <rFont val="Tahoma"/>
            <family val="2"/>
          </rPr>
          <t xml:space="preserve">
Updated 12/09/24 due to updated company figures </t>
        </r>
      </text>
    </comment>
    <comment ref="I22" authorId="0" shapeId="0" xr:uid="{4A5D65EF-29D6-4EC7-8CBB-F3A4AA2BA656}">
      <text>
        <r>
          <rPr>
            <b/>
            <sz val="9"/>
            <color indexed="81"/>
            <rFont val="Tahoma"/>
            <charset val="1"/>
          </rPr>
          <t>Tom Bide - BGS:</t>
        </r>
        <r>
          <rPr>
            <sz val="9"/>
            <color indexed="81"/>
            <rFont val="Tahoma"/>
            <charset val="1"/>
          </rPr>
          <t xml:space="preserve">
Updated 12/09/24 due to updated company figures </t>
        </r>
      </text>
    </comment>
    <comment ref="K22" authorId="0" shapeId="0" xr:uid="{494CBDD7-DD33-486A-81C9-B030C0A27FB9}">
      <text>
        <r>
          <rPr>
            <b/>
            <sz val="9"/>
            <color indexed="81"/>
            <rFont val="Tahoma"/>
            <charset val="1"/>
          </rPr>
          <t>Tom Bide - BGS:</t>
        </r>
        <r>
          <rPr>
            <sz val="9"/>
            <color indexed="81"/>
            <rFont val="Tahoma"/>
            <charset val="1"/>
          </rPr>
          <t xml:space="preserve">
Updated 12/09/24 due to updated company figures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Bide - BGS</author>
  </authors>
  <commentList>
    <comment ref="M3" authorId="0" shapeId="0" xr:uid="{FF6F5228-BFC3-49C8-A013-DD6DEA1C6877}">
      <text>
        <r>
          <rPr>
            <b/>
            <sz val="9"/>
            <color indexed="81"/>
            <rFont val="Tahoma"/>
            <charset val="1"/>
          </rPr>
          <t>Tom Bide - BGS:</t>
        </r>
        <r>
          <rPr>
            <sz val="9"/>
            <color indexed="81"/>
            <rFont val="Tahoma"/>
            <charset val="1"/>
          </rPr>
          <t xml:space="preserve">
Updated 12/09/24 due to updated company figures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 Bide - BGS</author>
  </authors>
  <commentList>
    <comment ref="K3" authorId="0" shapeId="0" xr:uid="{EBBDD008-4033-488F-B793-210197477BFC}">
      <text>
        <r>
          <rPr>
            <b/>
            <sz val="9"/>
            <color indexed="81"/>
            <rFont val="Tahoma"/>
            <charset val="1"/>
          </rPr>
          <t>Tom Bide - BGS:</t>
        </r>
        <r>
          <rPr>
            <sz val="9"/>
            <color indexed="81"/>
            <rFont val="Tahoma"/>
            <charset val="1"/>
          </rPr>
          <t xml:space="preserve">
Updated 12/09/24 due to updated company figures </t>
        </r>
      </text>
    </comment>
    <comment ref="M3" authorId="0" shapeId="0" xr:uid="{5F30B6FF-C58A-45EA-9B72-4484CAEA23FC}">
      <text>
        <r>
          <rPr>
            <b/>
            <sz val="9"/>
            <color indexed="81"/>
            <rFont val="Tahoma"/>
            <charset val="1"/>
          </rPr>
          <t>Tom Bide - BGS:</t>
        </r>
        <r>
          <rPr>
            <sz val="9"/>
            <color indexed="81"/>
            <rFont val="Tahoma"/>
            <charset val="1"/>
          </rPr>
          <t xml:space="preserve">
Updated 12/09/24 due to updated company figures </t>
        </r>
      </text>
    </comment>
  </commentList>
</comments>
</file>

<file path=xl/sharedStrings.xml><?xml version="1.0" encoding="utf-8"?>
<sst xmlns="http://schemas.openxmlformats.org/spreadsheetml/2006/main" count="6520" uniqueCount="865">
  <si>
    <t>Commodity</t>
  </si>
  <si>
    <t>ft</t>
  </si>
  <si>
    <t>SITC section 0, 1. Food, beverages, tobacco</t>
  </si>
  <si>
    <t>SITC section 2, 4. Basic materials</t>
  </si>
  <si>
    <t>SITC section 2, 4. Basic materials, of which: Minerals</t>
  </si>
  <si>
    <t>SITC section 3. Fuels and related materials</t>
  </si>
  <si>
    <t>SITC section 3. Fuels and related materials, of which: Mineral-based</t>
  </si>
  <si>
    <t>SITC section 5, 6. Semi-manufactures</t>
  </si>
  <si>
    <t>SITC section 5, 6. Semi-manufactures, of which: Mineral-based</t>
  </si>
  <si>
    <t>SITC section 7, 8. Finished manufactures</t>
  </si>
  <si>
    <t>All Traded goods</t>
  </si>
  <si>
    <t>All Traded goods,of which: Mineral-based</t>
  </si>
  <si>
    <t>Imports as a %</t>
  </si>
  <si>
    <t>Exports as a %</t>
  </si>
  <si>
    <t>Footnote Code</t>
  </si>
  <si>
    <t>Footnote Text</t>
  </si>
  <si>
    <t>stat_type</t>
  </si>
  <si>
    <t>Units</t>
  </si>
  <si>
    <t>SITC (R3) division 27. Crude minerals and fertilisers</t>
  </si>
  <si>
    <t>Imports</t>
  </si>
  <si>
    <t>Exports</t>
  </si>
  <si>
    <t>Balance of Trade</t>
  </si>
  <si>
    <t>SITC (R3) division 28. Metal ores and scrap</t>
  </si>
  <si>
    <t>SITC (R3) division 32. Coal, coke and briquettes</t>
  </si>
  <si>
    <t>SITC (R3) division 33. Petroleum, petroleum products and related materials:</t>
  </si>
  <si>
    <t>SITC (R3) division 34. Gas, natural and manufactured:</t>
  </si>
  <si>
    <t>SITC (R3) division 51. Organic chemicals</t>
  </si>
  <si>
    <t>SITC (R3) division 52. Inorganic chemicals:</t>
  </si>
  <si>
    <t>SITC (R3) division 53-59 (part). Miscellaneous chemical products:</t>
  </si>
  <si>
    <t>SITC (R3) division 56. Manufactured fertilisers:</t>
  </si>
  <si>
    <t>SITC (R3) division 66. Non-metallic mineral products:</t>
  </si>
  <si>
    <t>SITC (R3) division 67. Iron and steel:</t>
  </si>
  <si>
    <t>SITC (R3) division 68. Non-ferrous metals:</t>
  </si>
  <si>
    <t>SITC (R3) division 69. Manufactures of metal:</t>
  </si>
  <si>
    <t>SITC (R3) division 96. Coin other than gold:</t>
  </si>
  <si>
    <t>Total exports (calculated)</t>
  </si>
  <si>
    <t>Total imports (calculated)</t>
  </si>
  <si>
    <t>As of 2011 information regarding trade in gold is no longer available.</t>
  </si>
  <si>
    <t>Production</t>
  </si>
  <si>
    <t>Natural gas</t>
  </si>
  <si>
    <t>Natural gas liquids</t>
  </si>
  <si>
    <t>(a)</t>
  </si>
  <si>
    <t>Petroleum</t>
  </si>
  <si>
    <t>Tin</t>
  </si>
  <si>
    <t>Tungsten</t>
  </si>
  <si>
    <t>Silver</t>
  </si>
  <si>
    <t>Gold</t>
  </si>
  <si>
    <t>Other Non-ferrous metals:</t>
  </si>
  <si>
    <t>Sand and gravel</t>
  </si>
  <si>
    <t>Rock : Limestone and dolomite</t>
  </si>
  <si>
    <t>Rock : Sandstone</t>
  </si>
  <si>
    <t>Rock : Chalk</t>
  </si>
  <si>
    <t>Rock (Total)</t>
  </si>
  <si>
    <t>(b)</t>
  </si>
  <si>
    <t>Clay and Shale</t>
  </si>
  <si>
    <t>China clay (sales)</t>
  </si>
  <si>
    <t>Ball clay (sales)</t>
  </si>
  <si>
    <t>Salt</t>
  </si>
  <si>
    <t>Silica sand</t>
  </si>
  <si>
    <t>Potash</t>
  </si>
  <si>
    <t>Polyhalite</t>
  </si>
  <si>
    <t>Fluorspar</t>
  </si>
  <si>
    <t>Gypsum and anhydrite</t>
  </si>
  <si>
    <t>Miscellaneous minerals</t>
  </si>
  <si>
    <t xml:space="preserve">Coal </t>
  </si>
  <si>
    <t>Oil and gas</t>
  </si>
  <si>
    <t xml:space="preserve">Metals </t>
  </si>
  <si>
    <t xml:space="preserve">Construction and industrial minerals </t>
  </si>
  <si>
    <t xml:space="preserve">Total Minerals </t>
  </si>
  <si>
    <t>a</t>
  </si>
  <si>
    <t>Included in gas and petroleum figures.</t>
  </si>
  <si>
    <t>b</t>
  </si>
  <si>
    <t>Including a BGS estimate for the value of building stone.</t>
  </si>
  <si>
    <t>Calculated on an ex-works sales basis.</t>
  </si>
  <si>
    <t>Source: British Geological Survey.</t>
  </si>
  <si>
    <t>Coal &amp; Lignite</t>
  </si>
  <si>
    <t>Crude petroluem and natural gas</t>
  </si>
  <si>
    <t>Other mining and quarrying</t>
  </si>
  <si>
    <t>Mining and quarrying Minerals (Gross Value added)</t>
  </si>
  <si>
    <t>Minerals from all Industries (Gross Value added)</t>
  </si>
  <si>
    <t>of which: minerals related (%)</t>
  </si>
  <si>
    <t>At current basic prices.</t>
  </si>
  <si>
    <t>Source: Office of National Statistics.</t>
  </si>
  <si>
    <t>Individual industry sectors do not sum to the total mining and quarrying figure due to the exclusion of mining support service activities.</t>
  </si>
  <si>
    <t>Coal: Deep-mined</t>
  </si>
  <si>
    <t>Coal: Opencast</t>
  </si>
  <si>
    <t>Coal: Other</t>
  </si>
  <si>
    <t>Natural gas and oil:</t>
  </si>
  <si>
    <t>Methane (oil equivalent)</t>
  </si>
  <si>
    <t>Crude oil</t>
  </si>
  <si>
    <t>Crude oil: Onshore</t>
  </si>
  <si>
    <t>Crude oil: Offshore</t>
  </si>
  <si>
    <t>Condensates and other</t>
  </si>
  <si>
    <t>Condensates and other : Onshore</t>
  </si>
  <si>
    <t>Condensates and other : Offshore</t>
  </si>
  <si>
    <t>Lead</t>
  </si>
  <si>
    <t>(e)</t>
  </si>
  <si>
    <t>Kg</t>
  </si>
  <si>
    <t>(c)</t>
  </si>
  <si>
    <t>Rock : Limestone (excluding dolomite)</t>
  </si>
  <si>
    <t>Rock : Dolomite (excluding limestone)</t>
  </si>
  <si>
    <t>(f)(g)(l)</t>
  </si>
  <si>
    <t>(f)(g)</t>
  </si>
  <si>
    <t>Slate</t>
  </si>
  <si>
    <t>(e)(h)</t>
  </si>
  <si>
    <t>Sand and gravel: Land</t>
  </si>
  <si>
    <t>(l)</t>
  </si>
  <si>
    <t>Sand and gravel: Marine</t>
  </si>
  <si>
    <t>(i)</t>
  </si>
  <si>
    <t>Barytes</t>
  </si>
  <si>
    <t>(e)(j)</t>
  </si>
  <si>
    <t>Fireclay</t>
  </si>
  <si>
    <t>Gypsum (natural)</t>
  </si>
  <si>
    <t>Peat</t>
  </si>
  <si>
    <t>(k)</t>
  </si>
  <si>
    <t>Talc</t>
  </si>
  <si>
    <t>Slurry etc. recovered from dumps, ponds, rivers etc.</t>
  </si>
  <si>
    <t>Including ethane, propane and butane, in addition to condensates.</t>
  </si>
  <si>
    <t>c</t>
  </si>
  <si>
    <t>Excluding a small production in Northern Ireland.</t>
  </si>
  <si>
    <t>e</t>
  </si>
  <si>
    <t>BGS estimate.</t>
  </si>
  <si>
    <t>f</t>
  </si>
  <si>
    <t>Excluding a small production of granite in Northern Ireland.</t>
  </si>
  <si>
    <t>g</t>
  </si>
  <si>
    <t>h</t>
  </si>
  <si>
    <t>Slate figures include waste used for constructional fill and powder and granules used in industry.</t>
  </si>
  <si>
    <t>i</t>
  </si>
  <si>
    <t>Including marine-dredged landings at foreign ports (exports).</t>
  </si>
  <si>
    <t>j</t>
  </si>
  <si>
    <t>Dry weight.</t>
  </si>
  <si>
    <t>k</t>
  </si>
  <si>
    <t>Marketable product (KCl).</t>
  </si>
  <si>
    <t>l</t>
  </si>
  <si>
    <t>Including an estimate or partial estimate for Northern Ireland.</t>
  </si>
  <si>
    <t>Rock : Limestone</t>
  </si>
  <si>
    <t>Rock : Dolomite</t>
  </si>
  <si>
    <t>(d)(f)(k)</t>
  </si>
  <si>
    <t>(g)</t>
  </si>
  <si>
    <t>(e)(i)</t>
  </si>
  <si>
    <t>Fuller’s earth (sales)</t>
  </si>
  <si>
    <t>(j)</t>
  </si>
  <si>
    <t>d</t>
  </si>
  <si>
    <t>Including dolomite for constructional uses.</t>
  </si>
  <si>
    <t>Dolomite and magnesian limestone used for constructional and agricultural purposes as well as for refractory, chemical and other purposes specifically dependent on the high magnesium content.</t>
  </si>
  <si>
    <t>(c)(d)(f)</t>
  </si>
  <si>
    <t xml:space="preserve">Dolomite and magnesian limestone used for constructional and agricultural purposes as well as for refractory, chemical and other purposes specifically dependent on the high magnesium content. </t>
  </si>
  <si>
    <t>Sources: Mineral Products Association; Office for National Statistics; Department of Business, Energy &amp; Industrial Strategy; Crown Estate Commissioners; and company data.</t>
  </si>
  <si>
    <t>(c)(d)(g)</t>
  </si>
  <si>
    <t>Excluding granite.</t>
  </si>
  <si>
    <t>BGS estimates.</t>
  </si>
  <si>
    <t>Sources: Department for the Economy (Northern Ireland), Department of Environment, Food and Agriculture (Isle of Man), Company data (Guernsey and Jersey).</t>
  </si>
  <si>
    <t>North East England</t>
  </si>
  <si>
    <t>Yorkshire and the Humber</t>
  </si>
  <si>
    <t xml:space="preserve"> North West England</t>
  </si>
  <si>
    <t>East Midlands</t>
  </si>
  <si>
    <t>Greater London</t>
  </si>
  <si>
    <t>Wales</t>
  </si>
  <si>
    <t>Scotland</t>
  </si>
  <si>
    <t>Northern Ireland</t>
  </si>
  <si>
    <t>Total</t>
  </si>
  <si>
    <t>Abandoned Mine Methane</t>
  </si>
  <si>
    <t>Anhydrite</t>
  </si>
  <si>
    <t>Ball Clay</t>
  </si>
  <si>
    <t>Brickearth</t>
  </si>
  <si>
    <t>Chalk</t>
  </si>
  <si>
    <t>China Clay</t>
  </si>
  <si>
    <t>China Clay Waste</t>
  </si>
  <si>
    <t>Clay &amp; Shale</t>
  </si>
  <si>
    <t>Coal, Deep</t>
  </si>
  <si>
    <t>Coal, Surface Mined</t>
  </si>
  <si>
    <t>Coalbed Methane</t>
  </si>
  <si>
    <t>Flint</t>
  </si>
  <si>
    <t>Gravel</t>
  </si>
  <si>
    <t>Gypsum</t>
  </si>
  <si>
    <t>Igneous &amp; Metamorphic Rock</t>
  </si>
  <si>
    <t>Incinerator Bottom Ash</t>
  </si>
  <si>
    <t>Ironstone</t>
  </si>
  <si>
    <t>Limestone</t>
  </si>
  <si>
    <t>Limestone/dolomite</t>
  </si>
  <si>
    <t>Marble</t>
  </si>
  <si>
    <t>Natural Gas</t>
  </si>
  <si>
    <t>Ochre (Iron Ore)</t>
  </si>
  <si>
    <t>Oil</t>
  </si>
  <si>
    <t>Sand</t>
  </si>
  <si>
    <t>Sand &amp; Gravel</t>
  </si>
  <si>
    <t>Sandstone</t>
  </si>
  <si>
    <t>Sea Salt</t>
  </si>
  <si>
    <t>Secondary</t>
  </si>
  <si>
    <t>Serpentine</t>
  </si>
  <si>
    <t>Shale</t>
  </si>
  <si>
    <t>Silica Sand</t>
  </si>
  <si>
    <t>Slate Waste</t>
  </si>
  <si>
    <t>Channel Islands</t>
  </si>
  <si>
    <t>Isle of Man</t>
  </si>
  <si>
    <t>South West England</t>
  </si>
  <si>
    <t>South East England</t>
  </si>
  <si>
    <t>East of England</t>
  </si>
  <si>
    <t>West Midlands</t>
  </si>
  <si>
    <t>UK Summary for Abrasives 2018 - 2022</t>
  </si>
  <si>
    <t>Diamond (Industrial)</t>
  </si>
  <si>
    <t>tonnes (metric)</t>
  </si>
  <si>
    <t>Abrasives (Pumice)</t>
  </si>
  <si>
    <t>Abrasives (Other)</t>
  </si>
  <si>
    <t>UK Summary for Aggregates 2018 - 2022</t>
  </si>
  <si>
    <t>(s)</t>
  </si>
  <si>
    <t>(s)(w)</t>
  </si>
  <si>
    <t>(t)(w)</t>
  </si>
  <si>
    <t>Primary aggregates (Crushed rock)</t>
  </si>
  <si>
    <t>(t)</t>
  </si>
  <si>
    <t>Aggregates (total)</t>
  </si>
  <si>
    <t>(w)</t>
  </si>
  <si>
    <t>(u)</t>
  </si>
  <si>
    <t>(v)</t>
  </si>
  <si>
    <t>s</t>
  </si>
  <si>
    <t>t</t>
  </si>
  <si>
    <t>u</t>
  </si>
  <si>
    <t>v</t>
  </si>
  <si>
    <t>w</t>
  </si>
  <si>
    <t>UK Summary for Aluminium 2018 - 2022</t>
  </si>
  <si>
    <t>Primary Aluminium</t>
  </si>
  <si>
    <t>*</t>
  </si>
  <si>
    <t>Aluminium (Unwrought - Secondary)</t>
  </si>
  <si>
    <t>Consumption</t>
  </si>
  <si>
    <t>Aluminium (Ash and Residues)</t>
  </si>
  <si>
    <t>Bauxite, Alumina &amp; Aluminium (Unwrought)</t>
  </si>
  <si>
    <t>Bauxite, Alumina &amp; Aluminium (Unwrought alloys)</t>
  </si>
  <si>
    <t>Bauxite, Alumina &amp; Aluminium (Scrap)</t>
  </si>
  <si>
    <t>Tab</t>
  </si>
  <si>
    <t>Title</t>
  </si>
  <si>
    <t>Bauxite, Alumina &amp; Aluminium (Alumina)</t>
  </si>
  <si>
    <t>Bauxite, Alumina &amp; Aluminium (Alumina hydrate)</t>
  </si>
  <si>
    <t>Aluminium (Fused oxide)</t>
  </si>
  <si>
    <t>Aluminium (Fluorides)</t>
  </si>
  <si>
    <t>UK Summary for Aluminium compounds 2018 - 2022</t>
  </si>
  <si>
    <t>UK Summary for Antimony 2018 - 2022</t>
  </si>
  <si>
    <t>Antimony (Ores &amp; concentrates)</t>
  </si>
  <si>
    <t>Antimony (Metal)</t>
  </si>
  <si>
    <t>Antimony (Oxide)</t>
  </si>
  <si>
    <t>UK Summary for Arsenic 2018 - 2022</t>
  </si>
  <si>
    <t>Arsenic (Metallic arsenic)</t>
  </si>
  <si>
    <t>UK Summary for Asbestos 2018 - 2022</t>
  </si>
  <si>
    <t>Asbestos (Fibre)</t>
  </si>
  <si>
    <t>Asbestos (Fabricated asbestos)</t>
  </si>
  <si>
    <t>Asbestos (Friction material with a basis  of asbestos etc.)</t>
  </si>
  <si>
    <t>Asbestos (Articles of asbestos cement etc.)</t>
  </si>
  <si>
    <t>UK Summary for Asphalt, natural 2018 - 2022</t>
  </si>
  <si>
    <t>Asphalt (Natural)</t>
  </si>
  <si>
    <t>UK Summary for Ball clay 2018 - 2022</t>
  </si>
  <si>
    <t>Production (sales)</t>
  </si>
  <si>
    <t>UK Summary for Barytes 2018 - 2022</t>
  </si>
  <si>
    <t>Barytes (Barytes)</t>
  </si>
  <si>
    <t>Barytes (Barytes &amp; Witherite)</t>
  </si>
  <si>
    <t>UK Summary for Bauxite 2018 - 2022</t>
  </si>
  <si>
    <t>Bauxite, Alumina &amp; Aluminium (Bauxite)</t>
  </si>
  <si>
    <t>UK Summary for Bentonite 2018 - 2022</t>
  </si>
  <si>
    <t>Bentonite &amp; Fuller's Earth (Bentonite)</t>
  </si>
  <si>
    <t>UK Summary for Beryllium 2018 - 2022</t>
  </si>
  <si>
    <t>Beryllium (Metal)</t>
  </si>
  <si>
    <t>Beryllium (Oxides and hydroxides)</t>
  </si>
  <si>
    <t>UK Summary for Bismuth 2018 - 2022</t>
  </si>
  <si>
    <t>Bismuth (Metal)</t>
  </si>
  <si>
    <t>UK Summary for Boron 2018 - 2022</t>
  </si>
  <si>
    <t>Boron (Boron minerals)</t>
  </si>
  <si>
    <t>Including crude natural borates and concentrates, and crude natural boric acid.</t>
  </si>
  <si>
    <t>Bricks (all types)</t>
  </si>
  <si>
    <t>Concrete building blocks: Dense aggregate</t>
  </si>
  <si>
    <t>Concrete building blocks: Lightweight aggregate</t>
  </si>
  <si>
    <t>Concrete building blocks: Aerated concrete</t>
  </si>
  <si>
    <t>Concrete building blocks (Total)</t>
  </si>
  <si>
    <t>Roofing tiles: Concrete</t>
  </si>
  <si>
    <t>UK Summary for Bromine 2018 - 2022</t>
  </si>
  <si>
    <t>Bromine</t>
  </si>
  <si>
    <t>kilograms</t>
  </si>
  <si>
    <t>UK Summary for Building and dimension stone 2018 - 2022</t>
  </si>
  <si>
    <t>Building and dimension stone (total)</t>
  </si>
  <si>
    <t>Building and dimension stone (Paving stones and flagstones)</t>
  </si>
  <si>
    <t>UK Summary for Cadmium 2018 - 2022</t>
  </si>
  <si>
    <t>Cadmium</t>
  </si>
  <si>
    <t>Cadmium (Metal)</t>
  </si>
  <si>
    <t>Cadmium (Oxide)</t>
  </si>
  <si>
    <t>Cadmium (Pigments)</t>
  </si>
  <si>
    <t>Cadmium (Sulphide)</t>
  </si>
  <si>
    <t>UK Summary for Cement 2018 - 2022</t>
  </si>
  <si>
    <t>Cement Clinker</t>
  </si>
  <si>
    <t>Finished Cement</t>
  </si>
  <si>
    <t>Cement (Ready-mixed concrete)</t>
  </si>
  <si>
    <t>Consumption (home deliveries)</t>
  </si>
  <si>
    <t>Cement (Cement clinkers)</t>
  </si>
  <si>
    <t>Cement (Portland cement)</t>
  </si>
  <si>
    <t>Cement (Aluminous cement)</t>
  </si>
  <si>
    <t>Cement (Other cement)</t>
  </si>
  <si>
    <t>Great Britain only.</t>
  </si>
  <si>
    <t>Chalk (see Limestone)</t>
  </si>
  <si>
    <t>UK Summary for China clay 2018 - 2022</t>
  </si>
  <si>
    <t>Kaolin</t>
  </si>
  <si>
    <t>Excludes HS code 2507 00 80 'Other kaolinitic clays' which are shown in this volume under Ball clay.</t>
  </si>
  <si>
    <t>Estimate.</t>
  </si>
  <si>
    <t>Chine stone (see Feldspar)</t>
  </si>
  <si>
    <t>UK Summary for Chromium 2018 - 2022</t>
  </si>
  <si>
    <t>Apparent consumption</t>
  </si>
  <si>
    <t>Chromium</t>
  </si>
  <si>
    <t>Chromium (Ores &amp; concentrates)</t>
  </si>
  <si>
    <t>Chromium (Ferro-chrome  Under 4% carbon)</t>
  </si>
  <si>
    <t>Chromium (Ferro-chrome  Over 6% carbon)</t>
  </si>
  <si>
    <t>Iron, Steel &amp; Ferro-alloys (Ferro-silico-chrome)</t>
  </si>
  <si>
    <t>Chromium (Metal, alloys)</t>
  </si>
  <si>
    <t>UK Summary for Clays 2018 - 2022</t>
  </si>
  <si>
    <t>Clays  (Unspecified clays)</t>
  </si>
  <si>
    <t>year</t>
  </si>
  <si>
    <t>Bricks, pipes and Tiles</t>
  </si>
  <si>
    <t>Cement aggregate</t>
  </si>
  <si>
    <t>Lightweight aggregate</t>
  </si>
  <si>
    <t>Constructional use</t>
  </si>
  <si>
    <t>Other uses</t>
  </si>
  <si>
    <t>from 2015 onwards the source has changed from The Office for National Statistics to Ceramics UK and consequently the data may not be complete or consistent with earlier years.</t>
  </si>
  <si>
    <t>Source: Ceramics UK and 
Office for National Statistics.</t>
  </si>
  <si>
    <t>UK Summary for Coal 2018 - 2022</t>
  </si>
  <si>
    <t>Coal (Anthracite)</t>
  </si>
  <si>
    <t>Coal (Bituminous)</t>
  </si>
  <si>
    <t>Coal</t>
  </si>
  <si>
    <t>Coal (Other)</t>
  </si>
  <si>
    <t>Coal (Briquettes, coal)</t>
  </si>
  <si>
    <t>Coal  (Lignite (including agglomerated))</t>
  </si>
  <si>
    <t>UK Summary for Cobalt 2018 - 2022</t>
  </si>
  <si>
    <t>Cobalt</t>
  </si>
  <si>
    <t>tonnes (metal content)</t>
  </si>
  <si>
    <t>(s)(t)</t>
  </si>
  <si>
    <t>Cobalt (Ores &amp; concentrates)</t>
  </si>
  <si>
    <t>Cobalt (Unwrought)</t>
  </si>
  <si>
    <t>Cobalt (Wrought)</t>
  </si>
  <si>
    <t>Cobalt (Oxides)</t>
  </si>
  <si>
    <t>Cobalt (Scrap)</t>
  </si>
  <si>
    <t>Metal content.</t>
  </si>
  <si>
    <t>BGS estimates; see explanatory notes.</t>
  </si>
  <si>
    <t>UK Summary for Coke and breeze 2018 - 2022</t>
  </si>
  <si>
    <t>Coke and breeze (Coke oven - coke)</t>
  </si>
  <si>
    <t>Coke and breeze (Coke oven - breeze)</t>
  </si>
  <si>
    <t>Coke and breeze (Breeze)</t>
  </si>
  <si>
    <t>Coke and breeze (Coke from coal)</t>
  </si>
  <si>
    <t>Coke and breeze (Coke from Lignite)</t>
  </si>
  <si>
    <t>UK Summary for Copper 2018 - 2022</t>
  </si>
  <si>
    <t>Copper (Ash and residues)</t>
  </si>
  <si>
    <t>Copper (Matte &amp; cement)</t>
  </si>
  <si>
    <t>Copper (Ores &amp; concentrates)</t>
  </si>
  <si>
    <t>Copper (Scrap)</t>
  </si>
  <si>
    <t>Copper (Unwrought, refined)</t>
  </si>
  <si>
    <t>Copper (Unwrought, unrefined)</t>
  </si>
  <si>
    <t>Additional to that used in secondary metal.</t>
  </si>
  <si>
    <t>UK Summary for Crushed rock 2018 - 2022</t>
  </si>
  <si>
    <t>North East</t>
  </si>
  <si>
    <t>England</t>
  </si>
  <si>
    <t>UK Summary for Diamond 2018 - 2022</t>
  </si>
  <si>
    <t>Diamond (Dust)</t>
  </si>
  <si>
    <t>Diamond (Gem, cut)</t>
  </si>
  <si>
    <t>Diamond (Unsorted)</t>
  </si>
  <si>
    <t>UK Summary for Diatomite 2018 - 2022</t>
  </si>
  <si>
    <t>Diatomite</t>
  </si>
  <si>
    <t>Officially recorded under the heading `Siliceous fossil meals and similar siliceous earths'. Excludes flux calcined diatomite'.</t>
  </si>
  <si>
    <t>Dolomite (see Limestone)</t>
  </si>
  <si>
    <t>UK Summary for Feldspar 2018 - 2022</t>
  </si>
  <si>
    <t>Feldspar</t>
  </si>
  <si>
    <t>Feldspar and Nepheline syenite (Nepheline-syenite)</t>
  </si>
  <si>
    <t>UK Summary for Fireclay 2018 - 2022</t>
  </si>
  <si>
    <t>Fireclay (Fireclay bricks etc)</t>
  </si>
  <si>
    <t>Fireclay (Fireclay)</t>
  </si>
  <si>
    <t>Fireclay (Refractory hollow-ware)</t>
  </si>
  <si>
    <t>UK Summary for Fluorspar 2018 - 2022</t>
  </si>
  <si>
    <t>UK Summary for Germanium 2018 - 2022</t>
  </si>
  <si>
    <t>Germanium (Metal)</t>
  </si>
  <si>
    <t>UK Summary for Gold 2018 - 2022</t>
  </si>
  <si>
    <t>Gold (Semi-manufactured)</t>
  </si>
  <si>
    <t>Gold (Unwrought)</t>
  </si>
  <si>
    <t>Gold (Waste &amp; scrap)</t>
  </si>
  <si>
    <t>Mainly refined gold bullion in the form accepted in inter-bank transactions.</t>
  </si>
  <si>
    <t>UK Summary for Graphite 2018 - 2022</t>
  </si>
  <si>
    <t>Granite (see Igneous rock)</t>
  </si>
  <si>
    <t>Graphite</t>
  </si>
  <si>
    <t>Graphite (Artificial graphite)</t>
  </si>
  <si>
    <t>Graphite (Graphite crucibles etc)</t>
  </si>
  <si>
    <t>UK Summary for Gypsum and plaster 2018 - 2022</t>
  </si>
  <si>
    <t>Gypsum (Calcined)</t>
  </si>
  <si>
    <t>Gypsum (Crude)</t>
  </si>
  <si>
    <t>UK Summary for Hafnium 2018 - 2022</t>
  </si>
  <si>
    <t>Hafnium (refined)</t>
  </si>
  <si>
    <t>UK Summary for Igneous rock 2018 - 2022</t>
  </si>
  <si>
    <t>UK Summary for Insulating materials 2018 - 2022</t>
  </si>
  <si>
    <t>UK Summary for Iodine 2018 - 2022</t>
  </si>
  <si>
    <t>Iodine</t>
  </si>
  <si>
    <t>UK Summary for Iron compounds and earth colours 2018 - 2022</t>
  </si>
  <si>
    <t>Iron compounds and earth colours (Earth colours containing 70% or more ferric oxide)</t>
  </si>
  <si>
    <t>UK Summary for Iron ore 2018 - 2022</t>
  </si>
  <si>
    <t>Iron Ore</t>
  </si>
  <si>
    <t>Iron ore (Fe content)</t>
  </si>
  <si>
    <t>Iron ore (Imported)</t>
  </si>
  <si>
    <t>UK Summary for Iron and steel 2018 - 2022</t>
  </si>
  <si>
    <t>Iron and steel (Shot, powder, sponge etc.)</t>
  </si>
  <si>
    <t>Iron, Steel &amp; Ferro-alloys (Ferro-alloys)</t>
  </si>
  <si>
    <t>Iron, Steel &amp; Ferro-alloys (Ingots, blooms, billets)</t>
  </si>
  <si>
    <t>Iron, Steel &amp; Ferro-alloys (Pig iron)</t>
  </si>
  <si>
    <t>Iron, Steel &amp; Ferro-alloys (Scrap)</t>
  </si>
  <si>
    <t>Pig Iron</t>
  </si>
  <si>
    <t>Steel Ingots and Castings (Crude steel)</t>
  </si>
  <si>
    <t>Iron Ore:  Imported (Average Fe content: 62%)</t>
  </si>
  <si>
    <t>Iron and steel scrap (Consumption in steel making only.)</t>
  </si>
  <si>
    <t>Pig iron (Consumption in steel making only.)</t>
  </si>
  <si>
    <t>Source: Iron and Steel Statistics Bureau.</t>
  </si>
  <si>
    <t>UK Summary for Lead 2018 - 2022</t>
  </si>
  <si>
    <t>Lead (Ash and residues)</t>
  </si>
  <si>
    <t>Lead (Ores &amp; concentrates)</t>
  </si>
  <si>
    <t>Lead (Refined)</t>
  </si>
  <si>
    <t>Lead (Scrap)</t>
  </si>
  <si>
    <t>Lead (Unwrought alloys)</t>
  </si>
  <si>
    <t>Lead (Unwrought, refined)</t>
  </si>
  <si>
    <t>Lead (mined)</t>
  </si>
  <si>
    <t>(x)*</t>
  </si>
  <si>
    <t>(s)*</t>
  </si>
  <si>
    <t>x</t>
  </si>
  <si>
    <t>By-product of Pennine fluorspar operations and of gold mining in Northern Ireland.</t>
  </si>
  <si>
    <t>Refined from imported bullion including lead content of alloys.</t>
  </si>
  <si>
    <t>Containing substantial quantities of silver.</t>
  </si>
  <si>
    <t>UK Summary for Limestone, dolomite and chalk 2018 - 2022</t>
  </si>
  <si>
    <t>Limestone (Chalk)</t>
  </si>
  <si>
    <t>Limestone (Dolomite)</t>
  </si>
  <si>
    <t>Limestone (Lime)</t>
  </si>
  <si>
    <t>UK Summary for Lithium 2018 - 2022</t>
  </si>
  <si>
    <t>Lithium (Carbonate)</t>
  </si>
  <si>
    <t>Lithium (Oxides)</t>
  </si>
  <si>
    <t>Lithium Minerals (Chloride)</t>
  </si>
  <si>
    <t>UK Summary for Magnesia 2018 - 2022</t>
  </si>
  <si>
    <t>Magnesia (Dolomite)</t>
  </si>
  <si>
    <t>Magnesia (Kieserite)</t>
  </si>
  <si>
    <t>Magnesite &amp; Magnesia (Magnesite)</t>
  </si>
  <si>
    <t>Fired bricks and shapes only: unfired (chemically bonded) products excluded.</t>
  </si>
  <si>
    <t>Including dolomite bricks.</t>
  </si>
  <si>
    <t>UK Summary for Magnesium 2018 - 2022</t>
  </si>
  <si>
    <t>Iron, Steel &amp; Ferro-alloys (Ferro-silico-magnesium)</t>
  </si>
  <si>
    <t>Magnesium (Scrap)</t>
  </si>
  <si>
    <t>Magnesium (Unwrought alloys)</t>
  </si>
  <si>
    <t>Magnesium (Unwrought)</t>
  </si>
  <si>
    <t>Magnesium (Wrought)</t>
  </si>
  <si>
    <t>Contents page</t>
  </si>
  <si>
    <t>UK Summary for Manganese 2018 - 2022</t>
  </si>
  <si>
    <t>Manganese (Wrought)</t>
  </si>
  <si>
    <t>Manganese (Unwrought)</t>
  </si>
  <si>
    <t>Manganese (Scrap)</t>
  </si>
  <si>
    <t>Manganese (Oxides)</t>
  </si>
  <si>
    <t>Manganese (Ores &amp; Concentrates)</t>
  </si>
  <si>
    <t>Consumption in Iron and Steel Industry</t>
  </si>
  <si>
    <t>Manganese (Ore)</t>
  </si>
  <si>
    <t>Manganese (Metal)</t>
  </si>
  <si>
    <t>(e)*</t>
  </si>
  <si>
    <t>Manganese (Manganese)</t>
  </si>
  <si>
    <t>Iron, Steel &amp; Ferro-alloys (Ferro-silico-manganese)</t>
  </si>
  <si>
    <t>Iron, Steel &amp; Ferro-alloys (Ferro-manganese)</t>
  </si>
  <si>
    <t>UK Summary for Marble 2018 - 2022</t>
  </si>
  <si>
    <t>Marble (Crushed and powdered)</t>
  </si>
  <si>
    <t>UK Summary for Mercury 2018 - 2022</t>
  </si>
  <si>
    <t>Mercury</t>
  </si>
  <si>
    <t>UK Summary for Mica 2018 - 2022</t>
  </si>
  <si>
    <t>Mica (Worked)</t>
  </si>
  <si>
    <t>Mica (Waste)</t>
  </si>
  <si>
    <t>Mica (Unmanufactured)</t>
  </si>
  <si>
    <t>Mica (Ground)</t>
  </si>
  <si>
    <t>Including sheets or splittings.</t>
  </si>
  <si>
    <t>UK Summary for Molybdenum 2018 - 2022</t>
  </si>
  <si>
    <t>Molybdenum (Wrought)</t>
  </si>
  <si>
    <t>Molybdenum (Unwrought)</t>
  </si>
  <si>
    <t>Molybdenum (Scrap)</t>
  </si>
  <si>
    <t>Molybdenum (Roasted molybdenite concentrates)</t>
  </si>
  <si>
    <t>Molybdenum (Powders)</t>
  </si>
  <si>
    <t>Molybdenum (Oxides)</t>
  </si>
  <si>
    <t>Molybdenum (Other ores and concentrates)</t>
  </si>
  <si>
    <t>Molybdenum (Apparent consumption)</t>
  </si>
  <si>
    <t>Iron, Steel &amp; Ferro-alloys (Ferro-molybdenum)</t>
  </si>
  <si>
    <t>UK Summary for Nepheline syenite 2018 - 2022</t>
  </si>
  <si>
    <t>UK Summary for Nickel 2018 - 2022</t>
  </si>
  <si>
    <t>Iron, Steel &amp; Ferro-alloys (Ferro-nickel)</t>
  </si>
  <si>
    <t>Nickel (Ash and residues)</t>
  </si>
  <si>
    <t>Nickel (Mattes, sinters etc.)</t>
  </si>
  <si>
    <t>Nickel (Mined)</t>
  </si>
  <si>
    <t>(t)(v)</t>
  </si>
  <si>
    <t>Nickel (Ores &amp; concentrates)</t>
  </si>
  <si>
    <t>Nickel (Oxides)</t>
  </si>
  <si>
    <t>Nickel (Scrap)</t>
  </si>
  <si>
    <t>Nickel (Smelter/Refinery)</t>
  </si>
  <si>
    <t>Nickel (Unwrought alloys)</t>
  </si>
  <si>
    <t>Nickel (Unwrought)</t>
  </si>
  <si>
    <t>Nickel content of refinery products.</t>
  </si>
  <si>
    <t>Including the nickel content of ferro-nickel and other smelter products.</t>
  </si>
  <si>
    <t>Niobium (see Tantalum and Niobium)</t>
  </si>
  <si>
    <t>UK Summary for Peat 2018 - 2022</t>
  </si>
  <si>
    <t>Peat (Peat and agglomerated peat)</t>
  </si>
  <si>
    <t>UK Summary for Perlite 2018 - 2022</t>
  </si>
  <si>
    <t>Perlite (Imports)</t>
  </si>
  <si>
    <t>Figure also includes vermiculite and chlorites.</t>
  </si>
  <si>
    <t>UK summary for Crude petroleum 2018 - 2022</t>
  </si>
  <si>
    <t>Crude Petroleum</t>
  </si>
  <si>
    <t>Crude Petroleum (Crude Petroleum, pt refined)</t>
  </si>
  <si>
    <t>Petroleum (Crude petroleum excl condensates)</t>
  </si>
  <si>
    <t>Petroleum (Crude)</t>
  </si>
  <si>
    <t>Petroleum (Not used as fuels)</t>
  </si>
  <si>
    <t>Consumption (inland deliveries) of refined products</t>
  </si>
  <si>
    <t>Petroleum (Used as fuels- Power Generation)</t>
  </si>
  <si>
    <t>UK Summary for Natural gas (see also Petroleum) 2018 - 2022</t>
  </si>
  <si>
    <t>Natural gas (other)</t>
  </si>
  <si>
    <t>Petroleum (Methane  Colliery)</t>
  </si>
  <si>
    <t>million cubic metres</t>
  </si>
  <si>
    <t>Petroleum (Methane  Offshore and onshore)</t>
  </si>
  <si>
    <t>Tonnes oil equivalent: excluding minor consumption for non-energy use.</t>
  </si>
  <si>
    <t>Oil equivalent: converted from original data at 397 therms = 1 tonne.</t>
  </si>
  <si>
    <t>Tonnes of oil equivalent, converted from GWh using 85.985 tonnes of oil equivalent to 1 GWh. Source: Department of Energy and Climate Change.</t>
  </si>
  <si>
    <t>Includes propane, liquefied propane, butane, liquefied butane, ethylene, gaseous hydrocarbons.</t>
  </si>
  <si>
    <t>UK Summary for Phosphorus 2018 - 2022</t>
  </si>
  <si>
    <t>Phosphate Rock</t>
  </si>
  <si>
    <t>Phosphate Rock (Calcium phosphate)</t>
  </si>
  <si>
    <t>Phosphorus (Ammonium phosphates)</t>
  </si>
  <si>
    <t>Phosphorus (Basic slag)</t>
  </si>
  <si>
    <t>Phosphorus (Elemental phosphorus)</t>
  </si>
  <si>
    <t>Phosphorus (Other phosphatic fertilisers)</t>
  </si>
  <si>
    <t>Phosphorus (Phosphoric acids)</t>
  </si>
  <si>
    <t>Phosphorus (Polyphosphates including ammonium and sodium)</t>
  </si>
  <si>
    <t>Phosphorus (Superphosphates)</t>
  </si>
  <si>
    <t>(b)*</t>
  </si>
  <si>
    <t>UK Summary for Platinum group metals 2018 - 2022</t>
  </si>
  <si>
    <t>Platinum Group Metals (Other platinum metals)</t>
  </si>
  <si>
    <t>Platinum Group Metals (Palladium)</t>
  </si>
  <si>
    <t>Platinum Group Metals (Platinum &amp; platinum metals)</t>
  </si>
  <si>
    <t>Platinum Group Metals (Platinum)</t>
  </si>
  <si>
    <t>Platinum Group Metals (Waste &amp; scrap)</t>
  </si>
  <si>
    <t>UK Summary for Potassium compounds 2018 - 2022</t>
  </si>
  <si>
    <t>Potash (Chloride)</t>
  </si>
  <si>
    <t>Potash (Fertiliser salts)</t>
  </si>
  <si>
    <t>Potash (Other potassic fertilisers)</t>
  </si>
  <si>
    <t>Potash (Potassic fertilisers)</t>
  </si>
  <si>
    <t>Potash (Sulphate)</t>
  </si>
  <si>
    <t>Potash (polyhalite)</t>
  </si>
  <si>
    <t>UK Summary for Precious and semi-precious stones 2018 - 2022</t>
  </si>
  <si>
    <t>Precious and semi-precious stones (excluding diamond)  (Dust and powder)</t>
  </si>
  <si>
    <t>Precious and semi-precious stones (excluding diamond)  (Natural stones)</t>
  </si>
  <si>
    <t>Precious and semi-precious stones (excluding diamond)  (Synthetic stones)</t>
  </si>
  <si>
    <t>Unworked, cut or otherwise worked, but not mounted, set or strung.</t>
  </si>
  <si>
    <t>Bioenergy &amp; waste</t>
  </si>
  <si>
    <t>Nuclear electricity</t>
  </si>
  <si>
    <t>Wind &amp; hydro-electricity</t>
  </si>
  <si>
    <t>Including colliery methane.</t>
  </si>
  <si>
    <t>Source: Department of Energy and Climate Change.</t>
  </si>
  <si>
    <t>Net imports of electricty</t>
  </si>
  <si>
    <t xml:space="preserve">Total </t>
  </si>
  <si>
    <t>Source:  Department of Energy and Climate Change.</t>
  </si>
  <si>
    <t>UK Summary for Pumice 2018 - 2022</t>
  </si>
  <si>
    <t>Pumice (Imports)</t>
  </si>
  <si>
    <t>UK summary for Pyrite 2018 - 2022</t>
  </si>
  <si>
    <t>Iron Ore (Burnt pyrites)</t>
  </si>
  <si>
    <t>UK Summary for Quartz and quartzite 2018 - 2022</t>
  </si>
  <si>
    <t>Quartz and quartzite (Quartz)</t>
  </si>
  <si>
    <t>Quartz and quartzite (Quartzite)</t>
  </si>
  <si>
    <t>UK Summary for Radioactive and associated materials 2018 - 2022</t>
  </si>
  <si>
    <t>UK Summary for Rare earths 2018 - 2022</t>
  </si>
  <si>
    <t>Rare Earths (Cerium compounds)</t>
  </si>
  <si>
    <t>Rare Earths (Ferro-cerium &amp; other pyrophoric alloys)</t>
  </si>
  <si>
    <t>Rare Earths (Metals)</t>
  </si>
  <si>
    <t>Rare Earths (Other rare earth compounds)</t>
  </si>
  <si>
    <t>UK Summary for Salt 2018 - 2022</t>
  </si>
  <si>
    <t>UK Summary for Sand and gravel 2018 - 2022</t>
  </si>
  <si>
    <t>(s)(u)</t>
  </si>
  <si>
    <t>Sand and gravel and Aggregates (Sand and gravel)</t>
  </si>
  <si>
    <t>Including production from marine dredging.</t>
  </si>
  <si>
    <t>Includes an estimate for Northern Ireland.</t>
  </si>
  <si>
    <t>Land-based production -Great Britain</t>
  </si>
  <si>
    <t>Land-based production- Northern Ireland</t>
  </si>
  <si>
    <t>UK- for beach replenishment</t>
  </si>
  <si>
    <t>(d)</t>
  </si>
  <si>
    <t>(c)(f)</t>
  </si>
  <si>
    <t xml:space="preserve">Office for National Statistics.
</t>
  </si>
  <si>
    <t xml:space="preserve">Department of Enterprise, Trade &amp; Investment; Department of Economy.
</t>
  </si>
  <si>
    <t>Crown Estate.</t>
  </si>
  <si>
    <t>Trade Association reported figures minus marine-dredged landed at GB ports.</t>
  </si>
  <si>
    <t xml:space="preserve">Includes London. From 2000, excludes Essex, Hertfordshire and Bedfordshire.  </t>
  </si>
  <si>
    <t>Total value calculated from regions where value for country not available.</t>
  </si>
  <si>
    <t>Including marine-dredged material landed at GB ports.</t>
  </si>
  <si>
    <t>Sandstone (see Building and dimention stone)</t>
  </si>
  <si>
    <t>UK Summary for Selenium 2018 - 2022</t>
  </si>
  <si>
    <t>Selenium (Elemental)</t>
  </si>
  <si>
    <t>UK Summary for Silica sand 2018 - 2022</t>
  </si>
  <si>
    <t>Silica sand (Imports)</t>
  </si>
  <si>
    <t>Silica sands for glass making, moulding and other non-constructional uses.</t>
  </si>
  <si>
    <t>UK Summary for Silicon 2018 - 2022</t>
  </si>
  <si>
    <t>Iron, Steel &amp; Ferro-alloys (Ferro-silicon)</t>
  </si>
  <si>
    <t>Silicon (Doped silicon)</t>
  </si>
  <si>
    <t>UK Summary for Sillimanite 2018 - 2022</t>
  </si>
  <si>
    <t>Sillimanite Minerals (Mullite)</t>
  </si>
  <si>
    <t>Andalusite, kyanite and sillimanite.</t>
  </si>
  <si>
    <t>Calcined refractory clay including flint clay.</t>
  </si>
  <si>
    <t>UK Summary for Silver 2018 - 2022</t>
  </si>
  <si>
    <t>Silver (Ores &amp; concentrates)</t>
  </si>
  <si>
    <t>Silver (Partly worked)</t>
  </si>
  <si>
    <t>Silver (Unwrought)</t>
  </si>
  <si>
    <t>Silver (Waste &amp; scrap)</t>
  </si>
  <si>
    <t>UK Summary for Slate 2018 - 2022</t>
  </si>
  <si>
    <t>Slate (Roofing and wall tiles)</t>
  </si>
  <si>
    <t>Including roughly split or squared.</t>
  </si>
  <si>
    <t>Including articles of slate or agglomerated slate.</t>
  </si>
  <si>
    <t>UK Summary for Strontium 2018 - 2022</t>
  </si>
  <si>
    <t>Strontium (Carbonate)</t>
  </si>
  <si>
    <t>UK Summary for Sulphur 2018 - 2022</t>
  </si>
  <si>
    <t>Sulphur &amp; Pyrites (Sulphur, crude)</t>
  </si>
  <si>
    <t>Sulphur &amp; Pyrites (Sulphur, refined)</t>
  </si>
  <si>
    <t>Sulphur &amp; Pyrites (Sulphur, sublimed &amp; precipitated)</t>
  </si>
  <si>
    <t>Supply</t>
  </si>
  <si>
    <t>tonnes (sulphur content)</t>
  </si>
  <si>
    <t>Sulphur (produced)</t>
  </si>
  <si>
    <t>Produced from oil refineries.</t>
  </si>
  <si>
    <t>Including waste and residues.</t>
  </si>
  <si>
    <t>Sulphur content calculated at 29%.</t>
  </si>
  <si>
    <t>UK Summary for Talc 2018 - 2022</t>
  </si>
  <si>
    <t>UK summary for Tantalum and Niobium 2018 - 2022</t>
  </si>
  <si>
    <t>Iron, Steel &amp; Ferro-alloys (Ferro-niobium)</t>
  </si>
  <si>
    <t>Tantalum &amp; Niobium (Niobium)</t>
  </si>
  <si>
    <t>Tantalum &amp; Niobium (Tantalum)</t>
  </si>
  <si>
    <t>Including rhenium.</t>
  </si>
  <si>
    <t>UK Summary for Tellurium 2018 - 2022</t>
  </si>
  <si>
    <t>Tellurium (Imports)</t>
  </si>
  <si>
    <t>UK Summary for Tin 2018 - 2022</t>
  </si>
  <si>
    <t>Tin (Ores &amp; Concentrates)</t>
  </si>
  <si>
    <t>Tin (Refined)</t>
  </si>
  <si>
    <t>Tin (Scrap)</t>
  </si>
  <si>
    <t>Tin (Unwrought alloys)</t>
  </si>
  <si>
    <t>Tin (Unwrought)</t>
  </si>
  <si>
    <t>Tin (mine)</t>
  </si>
  <si>
    <t>UK Summary for Titanium 2018 - 2022</t>
  </si>
  <si>
    <t>Iron, Steel &amp; Ferro-alloys (Ferro-titanium &amp; ferro-silico-titanium)</t>
  </si>
  <si>
    <t>Titanium (Oxides 1)</t>
  </si>
  <si>
    <t>Titanium (Pigments based on titanium dioxide)</t>
  </si>
  <si>
    <t>Titanium (Scrap)</t>
  </si>
  <si>
    <t>Titanium (Titanium minerals)</t>
  </si>
  <si>
    <t>Titanium (Titanium slag)</t>
  </si>
  <si>
    <t>Titanium (Unwrought)</t>
  </si>
  <si>
    <t>Titanium (Wrought)</t>
  </si>
  <si>
    <t>Including ferro-silico-titanium.</t>
  </si>
  <si>
    <t>UK Summary for Tungsten 2018 - 2022</t>
  </si>
  <si>
    <t>Iron, Steel &amp; Ferro-alloys (Ferro-tungsten &amp; ferro-silico-tungsten)</t>
  </si>
  <si>
    <t>Tungsten (Carbide)</t>
  </si>
  <si>
    <t>Tungsten (Oxides and hydroxides)</t>
  </si>
  <si>
    <t>Tungsten (Scrap)</t>
  </si>
  <si>
    <t>Tungsten (Tungstates)</t>
  </si>
  <si>
    <t>Tungsten (Tungsten ores &amp; concentrates)</t>
  </si>
  <si>
    <t>Tungsten (Unwrought)</t>
  </si>
  <si>
    <t>Tungsten (Wrought)</t>
  </si>
  <si>
    <t>Including ferro-silico-tungsten.</t>
  </si>
  <si>
    <t>UK Summary for Vanadium 2018 - 2022</t>
  </si>
  <si>
    <t>Iron, Steel &amp; Ferro-alloys (Ferro-vanadium)</t>
  </si>
  <si>
    <t>Vanadium (Pentoxide)</t>
  </si>
  <si>
    <t>Vanadium (Unwrought)</t>
  </si>
  <si>
    <t>UK Summary for Vermiculite 2018 - 2022</t>
  </si>
  <si>
    <t>Vermiculite</t>
  </si>
  <si>
    <t>UK Summary for Zinc 2018 - 2022</t>
  </si>
  <si>
    <t>Zinc (Ash and residues)</t>
  </si>
  <si>
    <t>Zinc (Ores &amp; concentrates)</t>
  </si>
  <si>
    <t>Zinc (Scrap)</t>
  </si>
  <si>
    <t>Zinc (Slab)</t>
  </si>
  <si>
    <t>Zinc (Unwrought alloys)</t>
  </si>
  <si>
    <t>Zinc (Unwrought)</t>
  </si>
  <si>
    <t>UK Summary for Zirconium 2018 - 2022</t>
  </si>
  <si>
    <t>Zirconium (Ores &amp; Concentrates)</t>
  </si>
  <si>
    <t>Zirconium (Scrap)</t>
  </si>
  <si>
    <t>Zirconium (Unwrought)</t>
  </si>
  <si>
    <t>Zirconium (Wrought)</t>
  </si>
  <si>
    <t>Mainly zircon.</t>
  </si>
  <si>
    <t>Unit</t>
  </si>
  <si>
    <t>Statistic type</t>
  </si>
  <si>
    <t>Imports (c.i.f)</t>
  </si>
  <si>
    <t>Exports (f.o.b)</t>
  </si>
  <si>
    <t>Mineral</t>
  </si>
  <si>
    <t>All minerals total</t>
  </si>
  <si>
    <t>Silver (kg)</t>
  </si>
  <si>
    <t>Gold (kg)</t>
  </si>
  <si>
    <t>Includes small quantities for other purposes in Northern Ireland.</t>
  </si>
  <si>
    <t>For a number of years, a significant amount of armourstone imports are believed to be wrongly classified as 'granite, crude'. Care should be taken when comparing long time trends.</t>
  </si>
  <si>
    <t>Principally marine-dredged sand and gravel.  Source: HM Revenue and Customs.</t>
  </si>
  <si>
    <t>Chromium (Ferro-chrome  4%-6% carbon)</t>
  </si>
  <si>
    <t>Figures in some years believed to be too high. May include aggregates.</t>
  </si>
  <si>
    <t>Excluding refractory grade bauxite.</t>
  </si>
  <si>
    <t>Mainly barites with some witherite.</t>
  </si>
  <si>
    <t>Artificial corundum.</t>
  </si>
  <si>
    <t>BGS estimates, based on known imports into certain countries.</t>
  </si>
  <si>
    <t>Natural gas in gaseous state</t>
  </si>
  <si>
    <t>Natural gas, liquefied</t>
  </si>
  <si>
    <t>Dolomite (raw and burnt)</t>
  </si>
  <si>
    <t>Lead (Refined, Secondary)</t>
  </si>
  <si>
    <t>Lead (Unwrought, Bullion)</t>
  </si>
  <si>
    <t>Lead (Unwrought, unrefined Other)</t>
  </si>
  <si>
    <t>Dolomite used in Steel furnaces</t>
  </si>
  <si>
    <t>Dolomite used in Blast furnaces</t>
  </si>
  <si>
    <t>Dolomite used for other purposes</t>
  </si>
  <si>
    <t>Limestone used in blast furnaces</t>
  </si>
  <si>
    <t>Limestone used in Steel furnaces</t>
  </si>
  <si>
    <t>Limestone  used for other purposes</t>
  </si>
  <si>
    <t>Lime used in steel furnaces</t>
  </si>
  <si>
    <t>Lime  used for other purposes</t>
  </si>
  <si>
    <t>Magnesia (Magnesia- Dead burned)</t>
  </si>
  <si>
    <t>Including calcareous stone commonly used for the manufacture of lime or cement.</t>
  </si>
  <si>
    <t>BGS estimates based on known imports into certain countries.</t>
  </si>
  <si>
    <t>Including yttrium and scandium.</t>
  </si>
  <si>
    <t>Including yttrium and scandium compounds.</t>
  </si>
  <si>
    <t>North West</t>
  </si>
  <si>
    <t>Yorks. &amp; the Humber</t>
  </si>
  <si>
    <t>South East</t>
  </si>
  <si>
    <t>South West</t>
  </si>
  <si>
    <t xml:space="preserve">Great Britain total </t>
  </si>
  <si>
    <t>Rock: Igneous rock (Production)</t>
  </si>
  <si>
    <t>Cement (Finished cement)</t>
  </si>
  <si>
    <t>Chromium (Oxides and hydroxides)</t>
  </si>
  <si>
    <t>Clays  (Clay and shale)</t>
  </si>
  <si>
    <t>Coke and breeze (Coke oven coke)</t>
  </si>
  <si>
    <t>Petroleum (Natural gas)</t>
  </si>
  <si>
    <t>Insulating materials (Expanded minerals)</t>
  </si>
  <si>
    <t>Insulating materials (Mineral wools)</t>
  </si>
  <si>
    <t>Insulating materials (Other)</t>
  </si>
  <si>
    <t>Iron and steel (Finished steel)</t>
  </si>
  <si>
    <t>Limestone (Restricted to consumption in blast furnaces, sinter plants and steel.)</t>
  </si>
  <si>
    <t>Lime (Restricted to consumption in blast furnaces, sinter plants and steel.)</t>
  </si>
  <si>
    <t>Lead (Refined, Primary)</t>
  </si>
  <si>
    <t>Limestone (Limestone flux)</t>
  </si>
  <si>
    <t>Magnesia (Magnesite or chrome-magnesite refractory bricks and shapes)</t>
  </si>
  <si>
    <t>Petroleum (Condensates and other)</t>
  </si>
  <si>
    <t>Petroleum (Refined petroleum products)</t>
  </si>
  <si>
    <t>Phosphorus (Sodium phosphates and orthophosphates)</t>
  </si>
  <si>
    <t>Silica sand (Production)</t>
  </si>
  <si>
    <t>Sillimanite (Chamotte earth)</t>
  </si>
  <si>
    <t>Silver (Silver in unrefined lead bullion)</t>
  </si>
  <si>
    <t>Slate (Unworked)</t>
  </si>
  <si>
    <t>Slate (Other worked slate)</t>
  </si>
  <si>
    <t>Sulphur (Imported)</t>
  </si>
  <si>
    <t>Sulphur (Sulphur, zinc concentrates (imported))</t>
  </si>
  <si>
    <t>Titanium (Titanium dioxide pigment)</t>
  </si>
  <si>
    <t>Titanium (Apparent consumption)</t>
  </si>
  <si>
    <t>Zirconium (Apparent consumption)</t>
  </si>
  <si>
    <t>Lead (Unwrought, base bullion)</t>
  </si>
  <si>
    <t>Sillimanite Minerals (Kyanite, Silliminite and Andalusite)</t>
  </si>
  <si>
    <t>Marble (Dimension stone - Unworked)</t>
  </si>
  <si>
    <t>Igneous rock (Granite - Unworked)</t>
  </si>
  <si>
    <t>Building and dimension stone (Unworked - Sandstone)</t>
  </si>
  <si>
    <t>Marble (Dimension stone - Worked)</t>
  </si>
  <si>
    <t>Igneous rock (Granite - Worked)</t>
  </si>
  <si>
    <t>Building and dimension stone (Worked - Other stone)</t>
  </si>
  <si>
    <t>Iron compounds and earth colours (Other iron compounds - Oxides and hydroxides)</t>
  </si>
  <si>
    <t>Magnesia (Magnesia - Caustic-calcined)</t>
  </si>
  <si>
    <t>Magnesia (Magnesia - Dead burned)</t>
  </si>
  <si>
    <t>Magnesia (Magnesia - Other)</t>
  </si>
  <si>
    <t>Petroleum (Used as fuels - Elsewhere)</t>
  </si>
  <si>
    <t>Petroleum (Used as fuels - Refineries)</t>
  </si>
  <si>
    <t>Silicon (Elemental silicon - Containing not less than   99.99% silicon)</t>
  </si>
  <si>
    <t>Silicon (Elemental silicon - Other)</t>
  </si>
  <si>
    <t xml:space="preserve">Land-based - Total </t>
  </si>
  <si>
    <t>Marine-dredged for export</t>
  </si>
  <si>
    <t>Marine-dredged for home Market</t>
  </si>
  <si>
    <t xml:space="preserve">Marine-dredged Total </t>
  </si>
  <si>
    <t>UK Total</t>
  </si>
  <si>
    <t>Radioactive and associated  materials (Natural and enriched uranium, plutonium, artificial radioactive isotopes, and their compounds)</t>
  </si>
  <si>
    <t>Pyrite (Iron pyrites (incl. cupreous) - Unroasted)</t>
  </si>
  <si>
    <t>Iron and steel (Crude steel - Alloy qualities)</t>
  </si>
  <si>
    <t>Iron and steel (Crude steel - Other)</t>
  </si>
  <si>
    <t>Consumption in steel making only.</t>
  </si>
  <si>
    <t>Net home disposals.</t>
  </si>
  <si>
    <t>Slag wool, rock wool and similar mineral wools.</t>
  </si>
  <si>
    <t>Exfoliated vermiculite, expanded clays, foaming slag and similar expanded mineral materials.</t>
  </si>
  <si>
    <t>Mixtures and articles of heat-insulating, sound-insulating or sound-absorbing mineral materials.</t>
  </si>
  <si>
    <t>Great Britain</t>
  </si>
  <si>
    <t>Copper (Unwrought, alloys)</t>
  </si>
  <si>
    <t>Copper (Unwrought, Master alloys)</t>
  </si>
  <si>
    <t>Copper (Unwrought, Copper in scrap for direct use)</t>
  </si>
  <si>
    <t>Building and dimension stone (Unworked - Other stone)</t>
  </si>
  <si>
    <t>Diamond (natural, dust)</t>
  </si>
  <si>
    <t>Diamond (Gem, unworked or sawn, cleaved etc)</t>
  </si>
  <si>
    <t>Limestone (Production)</t>
  </si>
  <si>
    <t>Dolomite (Production)</t>
  </si>
  <si>
    <t>BGS estimates of silver content of unrefined lead bullion imported.</t>
  </si>
  <si>
    <t>A small percentage of trade figures are confidential, these are not included in the above figures.</t>
  </si>
  <si>
    <t>This table no longer includes Section 9 'other commodities' as the data for monetary gold is no longer available, Section 9 has been removed from previous years so comparisons can be maintained.</t>
  </si>
  <si>
    <t>Sources: Mineral Products Association; Office for National Statistics; Department of Business, Energy &amp; Industrial Strategy; Department for Economy (Northern Ireland); Crown Estate Commissioners; and company data.</t>
  </si>
  <si>
    <t>In addition, the following amounts of igneous rock were produced in Guernsey (thousand tonnes): 2018: 122; 2019: 111; 2020: 92; 2021: 104; 2022: 101 and Jersey: 2018: 240; 2019: 250; 2020: 240; 2021: 214; 2022: 232.</t>
  </si>
  <si>
    <t>Excluding building stone.</t>
  </si>
  <si>
    <t>As at February 2024.</t>
  </si>
  <si>
    <t>BGS estimate based on exports.</t>
  </si>
  <si>
    <t>The compounds recorded in this table are bismuth carbonate and/or bismuth nitrate.</t>
  </si>
  <si>
    <t>Source: Department for Business Energy and Industrial Strategy.</t>
  </si>
  <si>
    <t>This table does not purport to be comprehensive: trade in bromine is not separately distinguished from other halogens by many countries.</t>
  </si>
  <si>
    <t>Data in this table excludes secondary metal unless otherwise stated.</t>
  </si>
  <si>
    <t>Sources: For years to 2014: Office for National Statistics. For years from 2015: GB industry via trade association. For 2014 and 2019 the Aggregate Minerals Survey.</t>
  </si>
  <si>
    <t>In this table the term 'Dust' corresponds to item 7105.10 of the Harmonised System and includes both natural and synthetic diamond dust.</t>
  </si>
  <si>
    <t>BGS estimates, based on known exports from certain countries.</t>
  </si>
  <si>
    <t>This table includes both liquified natural gas (HS code: 271111) in tonnes and natural gas in gaseous state (HS code 271121) in tonnes of oil equivalent.</t>
  </si>
  <si>
    <t>To convert figures from million tonnes (of oil equivalent) to billion m3, multiply by 1.11.</t>
  </si>
  <si>
    <t>This table excludes synthetic graphite.</t>
  </si>
  <si>
    <t>In this table the term 'crude' may include some anhydrite.</t>
  </si>
  <si>
    <t>By-product of Pennine fluorspar operations.</t>
  </si>
  <si>
    <t>These figures do not entirely agree with those shown elsewhere for the production of limestone, dolomite and chalk for iron and steelmaking, even allowing for the conversion of lime and dolime to carbonate.</t>
  </si>
  <si>
    <t>Including manganiferous iron ore.</t>
  </si>
  <si>
    <t>This table shows unmanufactured mica and includes sheet, block, splittings, ground and waste, unless these are separately specified. Mica powder is included under the term 'ground'.</t>
  </si>
  <si>
    <t>There is no mine production of platinum group metals in the UK. However, refined platinum group metals are produced from imported materials and recycled but information is insufficient to enable an estimate to be made.</t>
  </si>
  <si>
    <t>Includes solid renewable sources (wood,straw and waste), a small amount of renewable primary heat sources (solar, geothermal, etc.), liquid biofuels, landfill gas and sewage gas.</t>
  </si>
  <si>
    <t>Includes generation by solar PV. Excludes generation from pumped storage stations.</t>
  </si>
  <si>
    <t>This table does not include production of refined salt.</t>
  </si>
  <si>
    <t xml:space="preserve">Principally marine dredged sand and gravel. </t>
  </si>
  <si>
    <t>Source: HM Revenue and Customs. However, the Crown Estate Commissioners give the following figures for marine dredged sand and gravel landed at foreign ports (tonnes): 2018: 4,110,142; 2019: 4,672,369; 2020: 4,344,873; 2021: 4,31,4653; 2022: 4,693,291.</t>
  </si>
  <si>
    <t>These figures for marine-dredged sand and gravel used for beach replenishment and contract fill may be included in home market production, and have therefore not been included in the totals.</t>
  </si>
  <si>
    <t>Source: Office for National Statistics, except 2018 which was a comprehensive survey by the Silica and Moulding Sand Association and BGS.</t>
  </si>
  <si>
    <t>Metal traded in ferro-alloy form is included under Iron, Steel and Ferro-alloys.</t>
  </si>
  <si>
    <t>Figure also includes perlite and chlorites.</t>
  </si>
  <si>
    <t>(a) Imports are valued c.i.f and exports are valued f.o.b.</t>
  </si>
  <si>
    <t>£ million</t>
  </si>
  <si>
    <t>£ million (a)</t>
  </si>
  <si>
    <t>Crude petroleum</t>
  </si>
  <si>
    <t>Trade in minerals and mineral-based products compared with total trade 2018 - 2022</t>
  </si>
  <si>
    <t>Balance of trade in minerals and mineral-based products. 2018 - 2022</t>
  </si>
  <si>
    <t>Approximate value of minerals produced in the United Kingdom 2018 - 2022</t>
  </si>
  <si>
    <t>United Kingdom mining and quarrying: Gross value added. 2018 - 2022</t>
  </si>
  <si>
    <t>United Kingdom production of minerals 2018 - 2022</t>
  </si>
  <si>
    <t>Methane (oil equivalent): Colliery</t>
  </si>
  <si>
    <t>Methane (oil equivalent): Onshore</t>
  </si>
  <si>
    <t>Methane (oil equivalent): Offshore</t>
  </si>
  <si>
    <t>England production of minerals 2018 - 2022</t>
  </si>
  <si>
    <t>Methane (oil equivalent): Colliery</t>
  </si>
  <si>
    <t>Wales production of minerals 2018 - 2022</t>
  </si>
  <si>
    <t>Scotland production of minerals 2018 - 2022</t>
  </si>
  <si>
    <t>Minerals produced in the Northern Ireland, Isle of Man, Guernsey and Jersey 2018 - 2022</t>
  </si>
  <si>
    <t>Number of mineral workings in the United Kingdom, by commodity</t>
  </si>
  <si>
    <t>Primary aggregates (Sand and gravel)</t>
  </si>
  <si>
    <t>£ thousand</t>
  </si>
  <si>
    <t>million</t>
  </si>
  <si>
    <t>million square metres</t>
  </si>
  <si>
    <t>Great Britain production of bricks, blocks and tiles 2018 - 2022</t>
  </si>
  <si>
    <t>Great Britain production of clay and shale by end-use. 2018 - 2022</t>
  </si>
  <si>
    <t>thousand tonnes</t>
  </si>
  <si>
    <t>Great Britain production of crushed rock by region 2018 - 2022</t>
  </si>
  <si>
    <t>carats</t>
  </si>
  <si>
    <t>Consumption in the United Kingdom iron and steel industry. 2018 - 2022</t>
  </si>
  <si>
    <t>Great Britain consumption of dolomite, limestone and lime in iron and steel production. 2018 - 2022</t>
  </si>
  <si>
    <t>tonnes (K2O content)</t>
  </si>
  <si>
    <t>United Kingdom production of primary fuels (energy supplied basis) 2018 - 2022</t>
  </si>
  <si>
    <t>United Kingdom consumption of energy (primary fuel input) (energy supplied basis) 2018 - 2022</t>
  </si>
  <si>
    <t>million tonnes</t>
  </si>
  <si>
    <t>United Kingdom production of sand and gravel 2018 - 2022</t>
  </si>
  <si>
    <t>Great Britain production of sand and gravel by region 2018 - 2022</t>
  </si>
  <si>
    <r>
      <t>Peat (000 m</t>
    </r>
    <r>
      <rPr>
        <vertAlign val="superscript"/>
        <sz val="11"/>
        <color theme="1"/>
        <rFont val="Arial"/>
        <family val="2"/>
      </rPr>
      <t>3</t>
    </r>
    <r>
      <rPr>
        <sz val="11"/>
        <color theme="1"/>
        <rFont val="Arial"/>
        <family val="2"/>
      </rPr>
      <t>)</t>
    </r>
  </si>
  <si>
    <r>
      <t>Peat (000 m</t>
    </r>
    <r>
      <rPr>
        <vertAlign val="superscript"/>
        <sz val="10"/>
        <color theme="1"/>
        <rFont val="Arial"/>
        <family val="2"/>
      </rPr>
      <t>3</t>
    </r>
    <r>
      <rPr>
        <sz val="10"/>
        <color theme="1"/>
        <rFont val="Arial"/>
        <family val="2"/>
      </rPr>
      <t>)</t>
    </r>
  </si>
  <si>
    <t xml:space="preserve">This table shows the consumption of fluxes used in iron and steelmaking. Dolomite and limestone are used in blast furnaces and in sinter plants, whilst lime and calcined dolomite, or dolime, are used in steelmaking. </t>
  </si>
  <si>
    <t>Guernsey. Rock: Igneous rock (Production)</t>
  </si>
  <si>
    <t>Isle of Man. Primary aggregates (Sand and gravel)</t>
  </si>
  <si>
    <t>Isle of Man. Rock : Limestone</t>
  </si>
  <si>
    <t>Isle of Man. Rock: Igneous rock (Production)</t>
  </si>
  <si>
    <t>Isle of Man. Slate</t>
  </si>
  <si>
    <t>Jersey. Primary aggregates (Sand and gravel)</t>
  </si>
  <si>
    <t>Jersey. Rock: Igneous rock (Production)</t>
  </si>
  <si>
    <t>Northern Ireland Executive. Basalt and igneous rock</t>
  </si>
  <si>
    <t>Northern Ireland Executive. Clay and Shale</t>
  </si>
  <si>
    <t>Northern Ireland Executive. Gold (kg)</t>
  </si>
  <si>
    <t>Northern Ireland Executive. Granite</t>
  </si>
  <si>
    <t>Northern Ireland Executive. Lead (tonnes)</t>
  </si>
  <si>
    <t>Northern Ireland Executive. Others</t>
  </si>
  <si>
    <t>Northern Ireland Executive. Primary aggregates (Sand and gravel)</t>
  </si>
  <si>
    <t>Northern Ireland Executive. Rock : Limestone</t>
  </si>
  <si>
    <t>Northern Ireland Executive. Sandstone</t>
  </si>
  <si>
    <t>Northern Ireland Executive. Silver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</si>
</sst>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_-* #,##0_-;\-* #,##0_-;_-* &quot;-&quot;??_-;_-@_-"/>
  </numFmts>
  <fonts count="39">
    <font>
      <sz val="11"/>
      <color theme="1"/>
      <name val="Aptos Narrow"/>
      <family val="2"/>
      <scheme val="minor"/>
    </font>
    <font>
      <u/>
      <sz val="11"/>
      <color theme="10"/>
      <name val="Aptos Narrow"/>
      <family val="2"/>
      <scheme val="minor"/>
    </font>
    <font>
      <sz val="11"/>
      <color theme="1"/>
      <name val="Aptos Narrow"/>
      <family val="2"/>
      <scheme val="minor"/>
    </font>
    <font>
      <sz val="11"/>
      <color theme="1"/>
      <name val="Aptos Display"/>
      <family val="2"/>
      <scheme val="major"/>
    </font>
    <font>
      <sz val="8"/>
      <color theme="1"/>
      <name val="Aptos Narrow"/>
      <family val="2"/>
      <scheme val="minor"/>
    </font>
    <font>
      <b/>
      <sz val="11"/>
      <color rgb="FF262626"/>
      <name val="Segoe UI"/>
      <family val="2"/>
    </font>
    <font>
      <sz val="11"/>
      <color theme="1"/>
      <name val="Arial"/>
      <family val="2"/>
    </font>
    <font>
      <b/>
      <sz val="10"/>
      <color theme="1"/>
      <name val="Arial"/>
      <family val="2"/>
    </font>
    <font>
      <sz val="10"/>
      <color theme="1"/>
      <name val="Arial"/>
      <family val="2"/>
    </font>
    <font>
      <u/>
      <sz val="10"/>
      <color theme="10"/>
      <name val="Arial"/>
      <family val="2"/>
    </font>
    <font>
      <sz val="10"/>
      <color theme="10"/>
      <name val="Arial"/>
      <family val="2"/>
    </font>
    <font>
      <b/>
      <sz val="12"/>
      <color theme="1"/>
      <name val="Arial"/>
      <family val="2"/>
    </font>
    <font>
      <sz val="10"/>
      <color rgb="FF000000"/>
      <name val="Arial"/>
      <family val="2"/>
    </font>
    <font>
      <b/>
      <sz val="12"/>
      <color rgb="FF000000"/>
      <name val="Arial"/>
      <family val="2"/>
    </font>
    <font>
      <sz val="11"/>
      <color rgb="FF000000"/>
      <name val="Arial"/>
      <family val="2"/>
    </font>
    <font>
      <u/>
      <sz val="11"/>
      <color theme="10"/>
      <name val="Arial"/>
      <family val="2"/>
    </font>
    <font>
      <sz val="8"/>
      <color theme="1"/>
      <name val="Arial"/>
      <family val="2"/>
    </font>
    <font>
      <vertAlign val="superscript"/>
      <sz val="11"/>
      <color theme="1"/>
      <name val="Arial"/>
      <family val="2"/>
    </font>
    <font>
      <b/>
      <sz val="11"/>
      <color rgb="FF000000"/>
      <name val="Arial"/>
      <family val="2"/>
    </font>
    <font>
      <vertAlign val="superscript"/>
      <sz val="10"/>
      <color theme="1"/>
      <name val="Arial"/>
      <family val="2"/>
    </font>
    <font>
      <b/>
      <sz val="10"/>
      <color rgb="FF000000"/>
      <name val="Arial"/>
      <family val="2"/>
    </font>
    <font>
      <b/>
      <sz val="11"/>
      <color theme="1"/>
      <name val="Arial"/>
      <family val="2"/>
    </font>
    <font>
      <b/>
      <sz val="12"/>
      <color rgb="FF262626"/>
      <name val="Arial"/>
      <family val="2"/>
    </font>
    <font>
      <b/>
      <sz val="11"/>
      <color rgb="FF262626"/>
      <name val="Arial"/>
      <family val="2"/>
    </font>
    <font>
      <b/>
      <sz val="18"/>
      <color rgb="FF262626"/>
      <name val="Arial"/>
      <family val="2"/>
    </font>
    <font>
      <b/>
      <sz val="12"/>
      <color rgb="FF262626"/>
      <name val="Ariel"/>
    </font>
    <font>
      <sz val="11"/>
      <color theme="1"/>
      <name val="Ariel"/>
    </font>
    <font>
      <u/>
      <sz val="11"/>
      <color theme="10"/>
      <name val="Ariel"/>
    </font>
    <font>
      <sz val="8"/>
      <color theme="1"/>
      <name val="Ariel"/>
    </font>
    <font>
      <sz val="10"/>
      <color theme="1"/>
      <name val="Ariel"/>
    </font>
    <font>
      <u/>
      <sz val="10"/>
      <color theme="10"/>
      <name val="Ariel"/>
    </font>
    <font>
      <b/>
      <sz val="11"/>
      <color theme="1"/>
      <name val="Ariel"/>
    </font>
    <font>
      <b/>
      <sz val="10"/>
      <color rgb="FF262626"/>
      <name val="Ariel"/>
    </font>
    <font>
      <b/>
      <sz val="12"/>
      <color rgb="FF000000"/>
      <name val="Ariel"/>
    </font>
    <font>
      <b/>
      <sz val="11"/>
      <color rgb="FF262626"/>
      <name val="Ariel"/>
    </font>
    <font>
      <sz val="9"/>
      <color indexed="81"/>
      <name val="Tahoma"/>
      <charset val="1"/>
    </font>
    <font>
      <b/>
      <sz val="9"/>
      <color indexed="81"/>
      <name val="Tahoma"/>
      <charset val="1"/>
    </font>
    <font>
      <b/>
      <sz val="9"/>
      <color indexed="81"/>
      <name val="Tahoma"/>
      <family val="2"/>
    </font>
    <font>
      <sz val="9"/>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43" fontId="2" fillId="0" borderId="0" applyFont="0" applyFill="0" applyBorder="0" applyAlignment="0" applyProtection="0"/>
  </cellStyleXfs>
  <cellXfs count="117">
    <xf numFmtId="0" fontId="0" fillId="0" borderId="0" xfId="0"/>
    <xf numFmtId="0" fontId="1" fillId="0" borderId="0" xfId="1"/>
    <xf numFmtId="0" fontId="0" fillId="0" borderId="0" xfId="0" applyAlignment="1">
      <alignment wrapText="1"/>
    </xf>
    <xf numFmtId="3" fontId="0" fillId="0" borderId="0" xfId="0" applyNumberFormat="1"/>
    <xf numFmtId="0" fontId="1" fillId="0" borderId="0" xfId="1" applyAlignment="1">
      <alignment horizontal="left"/>
    </xf>
    <xf numFmtId="0" fontId="0" fillId="0" borderId="1" xfId="0" applyBorder="1"/>
    <xf numFmtId="0" fontId="0" fillId="0" borderId="2" xfId="0" applyBorder="1"/>
    <xf numFmtId="0" fontId="0" fillId="0" borderId="2" xfId="0" applyBorder="1" applyAlignment="1">
      <alignment wrapText="1"/>
    </xf>
    <xf numFmtId="0" fontId="3" fillId="0" borderId="0" xfId="0" applyFont="1"/>
    <xf numFmtId="0" fontId="4" fillId="0" borderId="0" xfId="0" applyFont="1"/>
    <xf numFmtId="0" fontId="0" fillId="0" borderId="1" xfId="0" applyBorder="1" applyAlignment="1">
      <alignment wrapText="1"/>
    </xf>
    <xf numFmtId="0" fontId="3" fillId="0" borderId="0" xfId="0" applyFont="1" applyAlignment="1">
      <alignment wrapText="1"/>
    </xf>
    <xf numFmtId="0" fontId="5" fillId="0" borderId="0" xfId="0" applyFont="1" applyAlignment="1">
      <alignment vertical="center"/>
    </xf>
    <xf numFmtId="0" fontId="6" fillId="0" borderId="0" xfId="0" applyFont="1"/>
    <xf numFmtId="0" fontId="7" fillId="0" borderId="0" xfId="0" applyFont="1" applyAlignment="1">
      <alignment horizontal="left"/>
    </xf>
    <xf numFmtId="0" fontId="8" fillId="0" borderId="0" xfId="0" applyFont="1" applyAlignment="1">
      <alignment wrapText="1"/>
    </xf>
    <xf numFmtId="0" fontId="8" fillId="0" borderId="0" xfId="0" applyFont="1"/>
    <xf numFmtId="0" fontId="8" fillId="0" borderId="0" xfId="0" applyFont="1" applyAlignment="1">
      <alignment horizontal="left"/>
    </xf>
    <xf numFmtId="0" fontId="9" fillId="0" borderId="0" xfId="1" applyFont="1" applyAlignment="1">
      <alignment wrapText="1"/>
    </xf>
    <xf numFmtId="0" fontId="10" fillId="0" borderId="0" xfId="1" applyFont="1" applyAlignment="1">
      <alignment wrapText="1"/>
    </xf>
    <xf numFmtId="0" fontId="11" fillId="0" borderId="0" xfId="0" applyFont="1"/>
    <xf numFmtId="0" fontId="7" fillId="0" borderId="0" xfId="0" applyFont="1"/>
    <xf numFmtId="0" fontId="8" fillId="0" borderId="0" xfId="0" applyFont="1" applyAlignment="1">
      <alignment horizontal="right"/>
    </xf>
    <xf numFmtId="0" fontId="8" fillId="0" borderId="2" xfId="0" applyFont="1" applyBorder="1"/>
    <xf numFmtId="164" fontId="8" fillId="0" borderId="0" xfId="0" applyNumberFormat="1" applyFont="1"/>
    <xf numFmtId="164" fontId="7" fillId="0" borderId="0" xfId="0" applyNumberFormat="1" applyFont="1"/>
    <xf numFmtId="0" fontId="8" fillId="0" borderId="1" xfId="0" applyFont="1" applyBorder="1"/>
    <xf numFmtId="0" fontId="12" fillId="0" borderId="0" xfId="0" applyFont="1" applyAlignment="1">
      <alignment horizontal="left"/>
    </xf>
    <xf numFmtId="0" fontId="9" fillId="0" borderId="0" xfId="1" applyFont="1"/>
    <xf numFmtId="0" fontId="13" fillId="0" borderId="0" xfId="0" applyFont="1"/>
    <xf numFmtId="0" fontId="8" fillId="0" borderId="2" xfId="0" applyFont="1" applyBorder="1" applyAlignment="1">
      <alignment wrapText="1"/>
    </xf>
    <xf numFmtId="165" fontId="8" fillId="0" borderId="0" xfId="2" applyNumberFormat="1" applyFont="1"/>
    <xf numFmtId="0" fontId="7" fillId="0" borderId="0" xfId="0" applyFont="1" applyAlignment="1">
      <alignment wrapText="1"/>
    </xf>
    <xf numFmtId="165" fontId="7" fillId="0" borderId="0" xfId="2" applyNumberFormat="1" applyFont="1"/>
    <xf numFmtId="0" fontId="8" fillId="0" borderId="1" xfId="0" applyFont="1" applyBorder="1" applyAlignment="1">
      <alignment wrapText="1"/>
    </xf>
    <xf numFmtId="0" fontId="6" fillId="0" borderId="1" xfId="0" applyFont="1" applyBorder="1"/>
    <xf numFmtId="0" fontId="12" fillId="0" borderId="0" xfId="0" applyFont="1" applyAlignment="1">
      <alignment horizontal="left" wrapText="1"/>
    </xf>
    <xf numFmtId="0" fontId="6" fillId="0" borderId="0" xfId="0" applyFont="1" applyAlignment="1">
      <alignment wrapText="1"/>
    </xf>
    <xf numFmtId="0" fontId="11" fillId="0" borderId="0" xfId="0" applyFont="1" applyAlignment="1">
      <alignment wrapText="1"/>
    </xf>
    <xf numFmtId="166" fontId="8" fillId="0" borderId="0" xfId="2" applyNumberFormat="1" applyFont="1"/>
    <xf numFmtId="166" fontId="7" fillId="0" borderId="0" xfId="2" applyNumberFormat="1" applyFont="1"/>
    <xf numFmtId="0" fontId="6" fillId="0" borderId="0" xfId="0" applyFont="1" applyAlignment="1">
      <alignment horizontal="right"/>
    </xf>
    <xf numFmtId="0" fontId="6" fillId="0" borderId="2" xfId="0" applyFont="1" applyBorder="1"/>
    <xf numFmtId="166" fontId="6" fillId="0" borderId="0" xfId="2" applyNumberFormat="1" applyFont="1"/>
    <xf numFmtId="165" fontId="6" fillId="0" borderId="0" xfId="2" applyNumberFormat="1" applyFont="1"/>
    <xf numFmtId="0" fontId="14" fillId="0" borderId="0" xfId="0" applyFont="1" applyAlignment="1">
      <alignment horizontal="left"/>
    </xf>
    <xf numFmtId="0" fontId="15" fillId="0" borderId="0" xfId="1" applyFont="1"/>
    <xf numFmtId="0" fontId="16" fillId="0" borderId="0" xfId="0" applyFont="1"/>
    <xf numFmtId="0" fontId="18" fillId="0" borderId="0" xfId="0" applyFont="1"/>
    <xf numFmtId="0" fontId="20" fillId="0" borderId="0" xfId="0" applyFont="1"/>
    <xf numFmtId="0" fontId="8" fillId="0" borderId="2" xfId="0" applyFont="1" applyBorder="1" applyAlignment="1">
      <alignment textRotation="90" wrapText="1"/>
    </xf>
    <xf numFmtId="0" fontId="22" fillId="0" borderId="0" xfId="0" applyFont="1" applyAlignment="1">
      <alignment vertical="center"/>
    </xf>
    <xf numFmtId="166" fontId="6" fillId="0" borderId="0" xfId="2" applyNumberFormat="1" applyFont="1" applyAlignment="1">
      <alignment horizontal="right" vertical="center"/>
    </xf>
    <xf numFmtId="0" fontId="23" fillId="0" borderId="0" xfId="0" applyFont="1" applyAlignment="1">
      <alignment vertical="center"/>
    </xf>
    <xf numFmtId="0" fontId="8" fillId="0" borderId="2" xfId="2" applyNumberFormat="1" applyFont="1" applyBorder="1"/>
    <xf numFmtId="166" fontId="8" fillId="0" borderId="0" xfId="2" applyNumberFormat="1" applyFont="1" applyAlignment="1">
      <alignment horizontal="right"/>
    </xf>
    <xf numFmtId="166" fontId="8" fillId="0" borderId="1" xfId="2" applyNumberFormat="1" applyFont="1" applyBorder="1"/>
    <xf numFmtId="3" fontId="6" fillId="0" borderId="0" xfId="0" applyNumberFormat="1" applyFont="1"/>
    <xf numFmtId="0" fontId="6" fillId="0" borderId="2" xfId="0" applyFont="1" applyBorder="1" applyAlignment="1">
      <alignment wrapText="1"/>
    </xf>
    <xf numFmtId="0" fontId="6" fillId="0" borderId="1" xfId="0" applyFont="1" applyBorder="1" applyAlignment="1">
      <alignment wrapText="1"/>
    </xf>
    <xf numFmtId="3" fontId="8" fillId="0" borderId="0" xfId="0" applyNumberFormat="1" applyFont="1"/>
    <xf numFmtId="0" fontId="13" fillId="0" borderId="0" xfId="0" applyFont="1" applyAlignment="1">
      <alignment horizontal="left"/>
    </xf>
    <xf numFmtId="0" fontId="6" fillId="0" borderId="2" xfId="0" applyFont="1" applyBorder="1" applyAlignment="1">
      <alignment horizontal="left" wrapText="1"/>
    </xf>
    <xf numFmtId="0" fontId="6" fillId="0" borderId="0" xfId="0" applyFont="1" applyAlignment="1">
      <alignment horizontal="left"/>
    </xf>
    <xf numFmtId="0" fontId="6" fillId="0" borderId="1" xfId="0" applyFont="1" applyBorder="1" applyAlignment="1">
      <alignment horizontal="left"/>
    </xf>
    <xf numFmtId="0" fontId="15" fillId="0" borderId="0" xfId="1" applyFont="1" applyAlignment="1">
      <alignment horizontal="left"/>
    </xf>
    <xf numFmtId="3" fontId="6" fillId="0" borderId="1" xfId="0" applyNumberFormat="1" applyFont="1" applyBorder="1"/>
    <xf numFmtId="0" fontId="6" fillId="0" borderId="2" xfId="0" applyFont="1" applyBorder="1" applyAlignment="1">
      <alignment textRotation="90" wrapText="1"/>
    </xf>
    <xf numFmtId="17" fontId="24" fillId="0" borderId="0" xfId="0" applyNumberFormat="1" applyFont="1" applyAlignment="1">
      <alignment vertical="center" wrapText="1"/>
    </xf>
    <xf numFmtId="3" fontId="8" fillId="0" borderId="1" xfId="0" applyNumberFormat="1" applyFont="1" applyBorder="1"/>
    <xf numFmtId="0" fontId="21" fillId="0" borderId="0" xfId="0" applyFont="1"/>
    <xf numFmtId="0" fontId="6" fillId="0" borderId="0" xfId="0" applyFont="1" applyAlignment="1">
      <alignment horizontal="left" vertical="center"/>
    </xf>
    <xf numFmtId="0" fontId="25" fillId="0" borderId="0" xfId="0" applyFont="1" applyAlignment="1">
      <alignment vertical="center"/>
    </xf>
    <xf numFmtId="0" fontId="26" fillId="0" borderId="0" xfId="0" applyFont="1"/>
    <xf numFmtId="0" fontId="26" fillId="0" borderId="2" xfId="0" applyFont="1" applyBorder="1"/>
    <xf numFmtId="3" fontId="26" fillId="0" borderId="0" xfId="0" applyNumberFormat="1" applyFont="1"/>
    <xf numFmtId="0" fontId="26" fillId="0" borderId="1" xfId="0" applyFont="1" applyBorder="1"/>
    <xf numFmtId="0" fontId="27" fillId="0" borderId="0" xfId="1" applyFont="1" applyAlignment="1">
      <alignment horizontal="left"/>
    </xf>
    <xf numFmtId="0" fontId="28" fillId="0" borderId="0" xfId="0" applyFont="1"/>
    <xf numFmtId="0" fontId="26" fillId="0" borderId="0" xfId="0" applyFont="1" applyAlignment="1">
      <alignment wrapText="1"/>
    </xf>
    <xf numFmtId="0" fontId="26" fillId="0" borderId="2" xfId="0" applyFont="1" applyBorder="1" applyAlignment="1">
      <alignment wrapText="1"/>
    </xf>
    <xf numFmtId="0" fontId="26" fillId="0" borderId="1" xfId="0" applyFont="1" applyBorder="1" applyAlignment="1">
      <alignment wrapText="1"/>
    </xf>
    <xf numFmtId="3" fontId="26" fillId="0" borderId="1" xfId="0" applyNumberFormat="1" applyFont="1" applyBorder="1"/>
    <xf numFmtId="0" fontId="29" fillId="0" borderId="2" xfId="0" applyFont="1" applyBorder="1"/>
    <xf numFmtId="0" fontId="29" fillId="0" borderId="2" xfId="0" applyFont="1" applyBorder="1" applyAlignment="1">
      <alignment wrapText="1"/>
    </xf>
    <xf numFmtId="0" fontId="29" fillId="0" borderId="0" xfId="0" applyFont="1" applyAlignment="1">
      <alignment wrapText="1"/>
    </xf>
    <xf numFmtId="0" fontId="29" fillId="0" borderId="0" xfId="0" applyFont="1"/>
    <xf numFmtId="3" fontId="29" fillId="0" borderId="0" xfId="0" applyNumberFormat="1" applyFont="1"/>
    <xf numFmtId="0" fontId="29" fillId="0" borderId="1" xfId="0" applyFont="1" applyBorder="1"/>
    <xf numFmtId="0" fontId="29" fillId="0" borderId="1" xfId="0" applyFont="1" applyBorder="1" applyAlignment="1">
      <alignment wrapText="1"/>
    </xf>
    <xf numFmtId="0" fontId="30" fillId="0" borderId="0" xfId="1" applyFont="1" applyAlignment="1">
      <alignment horizontal="left"/>
    </xf>
    <xf numFmtId="0" fontId="31" fillId="0" borderId="0" xfId="0" applyFont="1"/>
    <xf numFmtId="0" fontId="32" fillId="0" borderId="0" xfId="0" applyFont="1" applyAlignment="1">
      <alignment vertical="center"/>
    </xf>
    <xf numFmtId="0" fontId="33" fillId="0" borderId="0" xfId="0" applyFont="1"/>
    <xf numFmtId="0" fontId="26" fillId="0" borderId="0" xfId="0" applyFont="1" applyAlignment="1">
      <alignment horizontal="right"/>
    </xf>
    <xf numFmtId="0" fontId="26" fillId="0" borderId="0" xfId="0" applyFont="1" applyAlignment="1">
      <alignment horizontal="left"/>
    </xf>
    <xf numFmtId="0" fontId="26" fillId="0" borderId="2" xfId="0" applyFont="1" applyBorder="1" applyAlignment="1">
      <alignment horizontal="left" wrapText="1"/>
    </xf>
    <xf numFmtId="0" fontId="26" fillId="0" borderId="1" xfId="0" applyFont="1" applyBorder="1" applyAlignment="1">
      <alignment horizontal="left"/>
    </xf>
    <xf numFmtId="0" fontId="26" fillId="0" borderId="2" xfId="0" applyFont="1" applyBorder="1" applyAlignment="1">
      <alignment textRotation="90" wrapText="1"/>
    </xf>
    <xf numFmtId="166" fontId="26" fillId="0" borderId="0" xfId="2" applyNumberFormat="1" applyFont="1"/>
    <xf numFmtId="0" fontId="34"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horizontal="left" wrapText="1"/>
    </xf>
    <xf numFmtId="0" fontId="6" fillId="0" borderId="0" xfId="0" applyFont="1" applyAlignment="1">
      <alignment wrapText="1"/>
    </xf>
    <xf numFmtId="0" fontId="6"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wrapText="1"/>
    </xf>
    <xf numFmtId="0" fontId="21" fillId="0" borderId="1" xfId="0" applyFont="1" applyBorder="1"/>
    <xf numFmtId="0" fontId="8" fillId="0" borderId="0" xfId="0" applyFont="1" applyAlignment="1">
      <alignment horizontal="left" vertical="center" wrapText="1"/>
    </xf>
    <xf numFmtId="0" fontId="6" fillId="0" borderId="0" xfId="0" applyFont="1" applyAlignment="1">
      <alignment horizontal="left" vertical="center" wrapText="1"/>
    </xf>
    <xf numFmtId="0" fontId="13" fillId="0" borderId="1" xfId="0" applyFont="1" applyBorder="1" applyAlignment="1">
      <alignment horizontal="left" wrapText="1"/>
    </xf>
    <xf numFmtId="0" fontId="26" fillId="0" borderId="0" xfId="0" applyFont="1" applyAlignment="1">
      <alignment wrapText="1"/>
    </xf>
    <xf numFmtId="0" fontId="29" fillId="0" borderId="0" xfId="0" applyFont="1" applyAlignment="1">
      <alignment wrapText="1"/>
    </xf>
    <xf numFmtId="0" fontId="26" fillId="0" borderId="0" xfId="0" applyFont="1" applyAlignment="1">
      <alignment horizontal="left" vertical="center" wrapText="1"/>
    </xf>
    <xf numFmtId="0" fontId="29" fillId="0" borderId="0" xfId="0" applyFont="1" applyAlignment="1">
      <alignment horizontal="left" wrapText="1"/>
    </xf>
    <xf numFmtId="0" fontId="33" fillId="0" borderId="1" xfId="0" applyFont="1" applyBorder="1" applyAlignment="1">
      <alignment horizontal="left" wrapText="1"/>
    </xf>
    <xf numFmtId="0" fontId="29" fillId="0" borderId="0" xfId="0" applyFont="1" applyAlignment="1">
      <alignment horizontal="lef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3</xdr:col>
      <xdr:colOff>127000</xdr:colOff>
      <xdr:row>4</xdr:row>
      <xdr:rowOff>111125</xdr:rowOff>
    </xdr:to>
    <xdr:pic>
      <xdr:nvPicPr>
        <xdr:cNvPr id="2" name="Picture 1">
          <a:extLst>
            <a:ext uri="{FF2B5EF4-FFF2-40B4-BE49-F238E27FC236}">
              <a16:creationId xmlns:a16="http://schemas.microsoft.com/office/drawing/2014/main" id="{DE527D55-727B-968F-9C8D-2304FAA40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85725"/>
          <a:ext cx="1784350" cy="749300"/>
        </a:xfrm>
        <a:prstGeom prst="rect">
          <a:avLst/>
        </a:prstGeom>
        <a:noFill/>
        <a:ln>
          <a:noFill/>
        </a:ln>
      </xdr:spPr>
    </xdr:pic>
    <xdr:clientData/>
  </xdr:twoCellAnchor>
  <xdr:twoCellAnchor editAs="oneCell">
    <xdr:from>
      <xdr:col>3</xdr:col>
      <xdr:colOff>502920</xdr:colOff>
      <xdr:row>0</xdr:row>
      <xdr:rowOff>86360</xdr:rowOff>
    </xdr:from>
    <xdr:to>
      <xdr:col>6</xdr:col>
      <xdr:colOff>255270</xdr:colOff>
      <xdr:row>4</xdr:row>
      <xdr:rowOff>60960</xdr:rowOff>
    </xdr:to>
    <xdr:pic>
      <xdr:nvPicPr>
        <xdr:cNvPr id="3" name="Picture 2" descr="MPA Primary Logo">
          <a:extLst>
            <a:ext uri="{FF2B5EF4-FFF2-40B4-BE49-F238E27FC236}">
              <a16:creationId xmlns:a16="http://schemas.microsoft.com/office/drawing/2014/main" id="{228C2C5A-5CCA-4BB4-39AB-82F876D025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1720" y="86360"/>
          <a:ext cx="1581150" cy="698500"/>
        </a:xfrm>
        <a:prstGeom prst="rect">
          <a:avLst/>
        </a:prstGeom>
        <a:noFill/>
      </xdr:spPr>
    </xdr:pic>
    <xdr:clientData/>
  </xdr:twoCellAnchor>
  <xdr:twoCellAnchor>
    <xdr:from>
      <xdr:col>0</xdr:col>
      <xdr:colOff>38101</xdr:colOff>
      <xdr:row>5</xdr:row>
      <xdr:rowOff>12701</xdr:rowOff>
    </xdr:from>
    <xdr:to>
      <xdr:col>8</xdr:col>
      <xdr:colOff>501650</xdr:colOff>
      <xdr:row>79</xdr:row>
      <xdr:rowOff>0</xdr:rowOff>
    </xdr:to>
    <xdr:sp macro="" textlink="">
      <xdr:nvSpPr>
        <xdr:cNvPr id="4" name="TextBox 3">
          <a:extLst>
            <a:ext uri="{FF2B5EF4-FFF2-40B4-BE49-F238E27FC236}">
              <a16:creationId xmlns:a16="http://schemas.microsoft.com/office/drawing/2014/main" id="{B864320B-A89B-C7EB-E92C-7EB09E345B34}"/>
            </a:ext>
          </a:extLst>
        </xdr:cNvPr>
        <xdr:cNvSpPr txBox="1"/>
      </xdr:nvSpPr>
      <xdr:spPr>
        <a:xfrm>
          <a:off x="38101" y="917576"/>
          <a:ext cx="5340349" cy="13379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a:solidFill>
                <a:schemeClr val="dk1"/>
              </a:solidFill>
              <a:effectLst/>
              <a:latin typeface="Arial" panose="020B0604020202020204" pitchFamily="34" charset="0"/>
              <a:ea typeface="+mn-ea"/>
              <a:cs typeface="Arial" panose="020B0604020202020204" pitchFamily="34" charset="0"/>
            </a:rPr>
            <a:t>United Kingdom Minerals Yearbook 2023</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Decarbonisation and Resource Management Programme</a:t>
          </a:r>
        </a:p>
        <a:p>
          <a:r>
            <a:rPr lang="en-GB" sz="1000">
              <a:solidFill>
                <a:schemeClr val="dk1"/>
              </a:solidFill>
              <a:effectLst/>
              <a:latin typeface="Arial" panose="020B0604020202020204" pitchFamily="34" charset="0"/>
              <a:ea typeface="+mn-ea"/>
              <a:cs typeface="Arial" panose="020B0604020202020204" pitchFamily="34" charset="0"/>
            </a:rPr>
            <a:t>Open Report OR/24/025</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a:t>
          </a:r>
          <a:r>
            <a:rPr lang="en-GB" sz="1000" baseline="0">
              <a:solidFill>
                <a:schemeClr val="dk1"/>
              </a:solidFill>
              <a:effectLst/>
              <a:latin typeface="Arial" panose="020B0604020202020204" pitchFamily="34" charset="0"/>
              <a:ea typeface="+mn-ea"/>
              <a:cs typeface="Arial" panose="020B0604020202020204" pitchFamily="34" charset="0"/>
            </a:rPr>
            <a:t> Bide, N.E. Idoine, E. Evans, E. R. Raycraft and J. Mankelow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Keywords: UK; minerals; statistics; production; trade; import; export.</a:t>
          </a:r>
          <a:endParaRPr lang="en-GB" sz="1000">
            <a:solidFill>
              <a:schemeClr val="dk1"/>
            </a:solidFill>
            <a:effectLst/>
            <a:latin typeface="Arial" panose="020B0604020202020204" pitchFamily="34" charset="0"/>
            <a:ea typeface="+mn-ea"/>
            <a:cs typeface="Arial" panose="020B0604020202020204" pitchFamily="34" charset="0"/>
          </a:endParaRP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BRITISH GEOLOGICAL SURVEY</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full range of our publications is available from BGS</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shops at Nottingham, Edinburgh, London and Cardiff (Welsh publications only) see contact details below or shop online at w</a:t>
          </a:r>
          <a:r>
            <a:rPr lang="en-US" sz="1000">
              <a:solidFill>
                <a:schemeClr val="dk1"/>
              </a:solidFill>
              <a:effectLst/>
              <a:latin typeface="Arial" panose="020B0604020202020204" pitchFamily="34" charset="0"/>
              <a:ea typeface="+mn-ea"/>
              <a:cs typeface="Arial" panose="020B0604020202020204" pitchFamily="34" charset="0"/>
            </a:rPr>
            <a:t>ww.geologyshop.com</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London Information Office also maintains a reference collection of BGS publications, including maps, for consultation.</a:t>
          </a:r>
        </a:p>
        <a:p>
          <a:r>
            <a:rPr lang="en-GB" sz="1000">
              <a:solidFill>
                <a:schemeClr val="dk1"/>
              </a:solidFill>
              <a:effectLst/>
              <a:latin typeface="Arial" panose="020B0604020202020204" pitchFamily="34" charset="0"/>
              <a:ea typeface="+mn-ea"/>
              <a:cs typeface="Arial" panose="020B0604020202020204" pitchFamily="34" charset="0"/>
            </a:rPr>
            <a:t>We publish an annual catalogue of our maps and other publications; this catalogue is available online or from  any of the BGS shops.</a:t>
          </a:r>
        </a:p>
        <a:p>
          <a:r>
            <a:rPr lang="en-GB" sz="1000" i="1">
              <a:solidFill>
                <a:schemeClr val="dk1"/>
              </a:solidFill>
              <a:effectLst/>
              <a:latin typeface="Arial" panose="020B0604020202020204" pitchFamily="34" charset="0"/>
              <a:ea typeface="+mn-ea"/>
              <a:cs typeface="Arial" panose="020B0604020202020204" pitchFamily="34" charset="0"/>
            </a:rPr>
            <a:t>The British Geological Survey carries out the geological survey of Great Britain and Northern Ireland (the latter as an agency service for the government of Northern Ireland), and of the surrounding continental shelf, as well as basic research projects. It also undertakes programmes of technical aid in geology in developing countries. The British Geological Survey is a component body of  UK Research and Innovation.</a:t>
          </a:r>
          <a:endParaRPr lang="en-GB" sz="1000">
            <a:solidFill>
              <a:schemeClr val="dk1"/>
            </a:solidFill>
            <a:effectLst/>
            <a:latin typeface="Arial" panose="020B0604020202020204" pitchFamily="34" charset="0"/>
            <a:ea typeface="+mn-ea"/>
            <a:cs typeface="Arial" panose="020B0604020202020204" pitchFamily="34" charset="0"/>
          </a:endParaRPr>
        </a:p>
        <a:p>
          <a:br>
            <a:rPr lang="en-GB" sz="1000">
              <a:solidFill>
                <a:schemeClr val="dk1"/>
              </a:solidFill>
              <a:effectLst/>
              <a:latin typeface="Arial" panose="020B0604020202020204" pitchFamily="34" charset="0"/>
              <a:ea typeface="+mn-ea"/>
              <a:cs typeface="Arial" panose="020B0604020202020204" pitchFamily="34" charset="0"/>
            </a:rPr>
          </a:br>
          <a:r>
            <a:rPr lang="en-GB" sz="1000" i="1">
              <a:solidFill>
                <a:schemeClr val="dk1"/>
              </a:solidFill>
              <a:effectLst/>
              <a:latin typeface="Arial" panose="020B0604020202020204" pitchFamily="34" charset="0"/>
              <a:ea typeface="+mn-ea"/>
              <a:cs typeface="Arial" panose="020B0604020202020204" pitchFamily="34" charset="0"/>
            </a:rPr>
            <a:t>British Geological Survey offices</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Nicker Hill, Keyworth,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Nottingham  NG12 5GG</a:t>
          </a:r>
          <a:endParaRPr lang="en-GB" sz="1000">
            <a:solidFill>
              <a:schemeClr val="dk1"/>
            </a:solidFill>
            <a:effectLst/>
            <a:latin typeface="Arial" panose="020B0604020202020204" pitchFamily="34" charset="0"/>
            <a:ea typeface="+mn-ea"/>
            <a:cs typeface="Arial" panose="020B0604020202020204" pitchFamily="34" charset="0"/>
          </a:endParaRPr>
        </a:p>
        <a:p>
          <a:r>
            <a:rPr lang="fr-FR" sz="1000">
              <a:solidFill>
                <a:schemeClr val="dk1"/>
              </a:solidFill>
              <a:effectLst/>
              <a:latin typeface="Arial" panose="020B0604020202020204" pitchFamily="34" charset="0"/>
              <a:ea typeface="+mn-ea"/>
              <a:cs typeface="Arial" panose="020B0604020202020204" pitchFamily="34" charset="0"/>
            </a:rPr>
            <a:t>Tel</a:t>
          </a:r>
          <a:r>
            <a:rPr lang="en-GB" sz="1000">
              <a:solidFill>
                <a:schemeClr val="dk1"/>
              </a:solidFill>
              <a:effectLst/>
              <a:latin typeface="Arial" panose="020B0604020202020204" pitchFamily="34" charset="0"/>
              <a:ea typeface="+mn-ea"/>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0115 936 3100</a:t>
          </a:r>
          <a:endParaRPr lang="en-GB" sz="1000">
            <a:solidFill>
              <a:schemeClr val="dk1"/>
            </a:solidFill>
            <a:effectLst/>
            <a:latin typeface="Arial" panose="020B0604020202020204" pitchFamily="34" charset="0"/>
            <a:ea typeface="+mn-ea"/>
            <a:cs typeface="Arial" panose="020B0604020202020204" pitchFamily="34" charset="0"/>
          </a:endParaRPr>
        </a:p>
        <a:p>
          <a:r>
            <a:rPr lang="fr-FR" sz="1000" b="1">
              <a:solidFill>
                <a:schemeClr val="dk1"/>
              </a:solidFill>
              <a:effectLst/>
              <a:latin typeface="Arial" panose="020B0604020202020204" pitchFamily="34" charset="0"/>
              <a:ea typeface="+mn-ea"/>
              <a:cs typeface="Arial" panose="020B0604020202020204" pitchFamily="34" charset="0"/>
            </a:rPr>
            <a:t>BGS Central Enquiries Desk</a:t>
          </a:r>
          <a:endParaRPr lang="en-GB" sz="1000">
            <a:solidFill>
              <a:schemeClr val="dk1"/>
            </a:solidFill>
            <a:effectLst/>
            <a:latin typeface="Arial" panose="020B0604020202020204" pitchFamily="34" charset="0"/>
            <a:ea typeface="+mn-ea"/>
            <a:cs typeface="Arial" panose="020B0604020202020204" pitchFamily="34" charset="0"/>
          </a:endParaRPr>
        </a:p>
        <a:p>
          <a:r>
            <a:rPr lang="fr-FR" sz="1000">
              <a:solidFill>
                <a:schemeClr val="dk1"/>
              </a:solidFill>
              <a:effectLst/>
              <a:latin typeface="Arial" panose="020B0604020202020204" pitchFamily="34" charset="0"/>
              <a:ea typeface="+mn-ea"/>
              <a:cs typeface="Arial" panose="020B0604020202020204" pitchFamily="34" charset="0"/>
            </a:rPr>
            <a:t>Tel</a:t>
          </a:r>
          <a:r>
            <a:rPr lang="en-GB" sz="1000">
              <a:solidFill>
                <a:schemeClr val="dk1"/>
              </a:solidFill>
              <a:effectLst/>
              <a:latin typeface="Arial" panose="020B0604020202020204" pitchFamily="34" charset="0"/>
              <a:ea typeface="+mn-ea"/>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0115 936 3143</a:t>
          </a:r>
          <a:br>
            <a:rPr lang="fr-FR" sz="1000">
              <a:solidFill>
                <a:schemeClr val="dk1"/>
              </a:solidFill>
              <a:effectLst/>
              <a:latin typeface="Arial" panose="020B0604020202020204" pitchFamily="34" charset="0"/>
              <a:ea typeface="+mn-ea"/>
              <a:cs typeface="Arial" panose="020B0604020202020204" pitchFamily="34" charset="0"/>
            </a:rPr>
          </a:br>
          <a:r>
            <a:rPr lang="fr-FR" sz="1000">
              <a:solidFill>
                <a:schemeClr val="dk1"/>
              </a:solidFill>
              <a:effectLst/>
              <a:latin typeface="Arial" panose="020B0604020202020204" pitchFamily="34" charset="0"/>
              <a:ea typeface="+mn-ea"/>
              <a:cs typeface="Arial" panose="020B0604020202020204" pitchFamily="34" charset="0"/>
            </a:rPr>
            <a:t>email</a:t>
          </a:r>
          <a:r>
            <a:rPr lang="en-GB" sz="1000">
              <a:solidFill>
                <a:schemeClr val="dk1"/>
              </a:solidFill>
              <a:effectLst/>
              <a:latin typeface="Arial" panose="020B0604020202020204" pitchFamily="34" charset="0"/>
              <a:ea typeface="+mn-ea"/>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enquiries@bgs.ac.uk</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BGS Sales</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Tel 0115 936 3241</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email sales@bgs.ac.uk</a:t>
          </a:r>
        </a:p>
        <a:p>
          <a:r>
            <a:rPr lang="en-GB" sz="1000" b="1">
              <a:solidFill>
                <a:schemeClr val="dk1"/>
              </a:solidFill>
              <a:effectLst/>
              <a:latin typeface="Arial" panose="020B0604020202020204" pitchFamily="34" charset="0"/>
              <a:ea typeface="+mn-ea"/>
              <a:cs typeface="Arial" panose="020B0604020202020204" pitchFamily="34" charset="0"/>
            </a:rPr>
            <a:t>The Lyell Centre, Research Avenue South,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Edinburgh  EH14 4AP</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Tel 0131 667 1000	</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email scotsales@bgs.ac.uk</a:t>
          </a:r>
        </a:p>
        <a:p>
          <a:r>
            <a:rPr lang="en-GB" sz="1000" b="1">
              <a:solidFill>
                <a:schemeClr val="dk1"/>
              </a:solidFill>
              <a:effectLst/>
              <a:latin typeface="Arial" panose="020B0604020202020204" pitchFamily="34" charset="0"/>
              <a:ea typeface="+mn-ea"/>
              <a:cs typeface="Arial" panose="020B0604020202020204" pitchFamily="34" charset="0"/>
            </a:rPr>
            <a:t>Natural History Museum, Cromwell Road,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London  SW7 5BD</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Tel 020 7589 4090	</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Tel 020 7942 5344/45	</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email bgslondon@bgs.ac.uk</a:t>
          </a:r>
        </a:p>
        <a:p>
          <a:r>
            <a:rPr lang="en-GB" sz="1000" b="1">
              <a:solidFill>
                <a:schemeClr val="dk1"/>
              </a:solidFill>
              <a:effectLst/>
              <a:latin typeface="Arial" panose="020B0604020202020204" pitchFamily="34" charset="0"/>
              <a:ea typeface="+mn-ea"/>
              <a:cs typeface="Arial" panose="020B0604020202020204" pitchFamily="34" charset="0"/>
            </a:rPr>
            <a:t>Cardiff University, Main Building, Park Place,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Cardiff  CF10 3AT</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Tel 029 2167 4280	</a:t>
          </a:r>
        </a:p>
        <a:p>
          <a:r>
            <a:rPr lang="en-GB" sz="1000" b="1">
              <a:solidFill>
                <a:schemeClr val="dk1"/>
              </a:solidFill>
              <a:effectLst/>
              <a:latin typeface="Arial" panose="020B0604020202020204" pitchFamily="34" charset="0"/>
              <a:ea typeface="+mn-ea"/>
              <a:cs typeface="Arial" panose="020B0604020202020204" pitchFamily="34" charset="0"/>
            </a:rPr>
            <a:t>Maclean Building, Crowmarsh Gifford,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Wallingford  OX10 8BB</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Tel 01491 838800	</a:t>
          </a:r>
        </a:p>
        <a:p>
          <a:r>
            <a:rPr lang="en-GB" sz="1000" b="1">
              <a:solidFill>
                <a:schemeClr val="dk1"/>
              </a:solidFill>
              <a:effectLst/>
              <a:latin typeface="Arial" panose="020B0604020202020204" pitchFamily="34" charset="0"/>
              <a:ea typeface="+mn-ea"/>
              <a:cs typeface="Arial" panose="020B0604020202020204" pitchFamily="34" charset="0"/>
            </a:rPr>
            <a:t>Geological Survey of Northern Ireland, Department of Enterprise, Trade &amp; Investment, Dundonald House, Upper Newtownards Road, Ballymiscaw,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Belfast, BT4 3SB</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Tel 01232 666595	</a:t>
          </a:r>
        </a:p>
        <a:p>
          <a:r>
            <a:rPr lang="en-US" sz="1000">
              <a:solidFill>
                <a:schemeClr val="dk1"/>
              </a:solidFill>
              <a:effectLst/>
              <a:latin typeface="Arial" panose="020B0604020202020204" pitchFamily="34" charset="0"/>
              <a:ea typeface="+mn-ea"/>
              <a:cs typeface="Arial" panose="020B0604020202020204" pitchFamily="34" charset="0"/>
            </a:rPr>
            <a:t>www.bgs.ac.uk/gsni/</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Natural Environment Research Council, Polaris House,</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North Star Avenue, Swindon  SN2 1EU</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Tel 01793 411500	Fax 01793 411501</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www.nerc.ac.uk</a:t>
          </a:r>
        </a:p>
        <a:p>
          <a:r>
            <a:rPr lang="en-GB" sz="1000" b="1">
              <a:solidFill>
                <a:schemeClr val="dk1"/>
              </a:solidFill>
              <a:effectLst/>
              <a:latin typeface="Arial" panose="020B0604020202020204" pitchFamily="34" charset="0"/>
              <a:ea typeface="+mn-ea"/>
              <a:cs typeface="Arial" panose="020B0604020202020204" pitchFamily="34" charset="0"/>
            </a:rPr>
            <a:t>UK Research and Innovation, Polaris House, </a:t>
          </a:r>
          <a:br>
            <a:rPr lang="en-GB" sz="1000" b="1">
              <a:solidFill>
                <a:schemeClr val="dk1"/>
              </a:solidFill>
              <a:effectLst/>
              <a:latin typeface="Arial" panose="020B0604020202020204" pitchFamily="34" charset="0"/>
              <a:ea typeface="+mn-ea"/>
              <a:cs typeface="Arial" panose="020B0604020202020204" pitchFamily="34" charset="0"/>
            </a:rPr>
          </a:br>
          <a:r>
            <a:rPr lang="en-GB" sz="1000" b="1">
              <a:solidFill>
                <a:schemeClr val="dk1"/>
              </a:solidFill>
              <a:effectLst/>
              <a:latin typeface="Arial" panose="020B0604020202020204" pitchFamily="34" charset="0"/>
              <a:ea typeface="+mn-ea"/>
              <a:cs typeface="Arial" panose="020B0604020202020204" pitchFamily="34" charset="0"/>
            </a:rPr>
            <a:t>Swindon SN2 1FL</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Tel  01793 444000	</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www.ukri.org</a:t>
          </a:r>
        </a:p>
        <a:p>
          <a:r>
            <a:rPr lang="en-GB" sz="1000" b="1">
              <a:solidFill>
                <a:schemeClr val="dk1"/>
              </a:solidFill>
              <a:effectLst/>
              <a:latin typeface="Arial" panose="020B0604020202020204" pitchFamily="34" charset="0"/>
              <a:ea typeface="+mn-ea"/>
              <a:cs typeface="Arial" panose="020B0604020202020204" pitchFamily="34" charset="0"/>
            </a:rPr>
            <a:t> </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Website  www.bgs.ac.uk </a:t>
          </a:r>
          <a:br>
            <a:rPr lang="en-GB" sz="1000">
              <a:solidFill>
                <a:schemeClr val="dk1"/>
              </a:solidFill>
              <a:effectLst/>
              <a:latin typeface="Arial" panose="020B0604020202020204" pitchFamily="34" charset="0"/>
              <a:ea typeface="+mn-ea"/>
              <a:cs typeface="Arial" panose="020B0604020202020204" pitchFamily="34" charset="0"/>
            </a:rPr>
          </a:br>
          <a:r>
            <a:rPr lang="en-GB" sz="1000">
              <a:solidFill>
                <a:schemeClr val="dk1"/>
              </a:solidFill>
              <a:effectLst/>
              <a:latin typeface="Arial" panose="020B0604020202020204" pitchFamily="34" charset="0"/>
              <a:ea typeface="+mn-ea"/>
              <a:cs typeface="Arial" panose="020B0604020202020204" pitchFamily="34" charset="0"/>
            </a:rPr>
            <a:t>Shop online at  </a:t>
          </a:r>
          <a:r>
            <a:rPr lang="en-US" sz="100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www.geologyshop.com</a:t>
          </a:r>
          <a:endParaRPr lang="en-US" sz="1000" u="none" strike="noStrike">
            <a:solidFill>
              <a:schemeClr val="dk1"/>
            </a:solidFill>
            <a:effectLst/>
            <a:latin typeface="Arial" panose="020B0604020202020204" pitchFamily="34" charset="0"/>
            <a:ea typeface="+mn-ea"/>
            <a:cs typeface="Arial" panose="020B0604020202020204" pitchFamily="34" charset="0"/>
          </a:endParaRPr>
        </a:p>
        <a:p>
          <a:endParaRPr lang="en-US" sz="1000" u="none" strike="noStrike">
            <a:solidFill>
              <a:schemeClr val="dk1"/>
            </a:solidFill>
            <a:effectLst/>
            <a:latin typeface="Arial" panose="020B0604020202020204" pitchFamily="34" charset="0"/>
            <a:ea typeface="+mn-ea"/>
            <a:cs typeface="Arial" panose="020B0604020202020204" pitchFamily="34" charset="0"/>
          </a:endParaRPr>
        </a:p>
        <a:p>
          <a:endParaRPr lang="en-US" sz="1000" u="none" strike="noStrike">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Copyright in materials derived from the British Geological Survey’s work is owned by  UK Research and Innovation (UKRI) and/or the authority that commissioned the work. You may not copy or adapt this publication without first obtaining permission. Contact the BGS Intellectual  property Rights Section, British Geological Survey, Keyworth, e-mail ipr@bgs.ac.uk. You may quote extracts of a reasonable length without prior permission, provided a full acknowledgement is given of the source of the extract.</a:t>
          </a:r>
        </a:p>
        <a:p>
          <a:endParaRPr lang="en-GB" sz="1000">
            <a:latin typeface="Arial" panose="020B0604020202020204" pitchFamily="34" charset="0"/>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Acknowledgements</a:t>
          </a:r>
        </a:p>
        <a:p>
          <a:r>
            <a:rPr lang="en-GB" sz="1000">
              <a:solidFill>
                <a:schemeClr val="dk1"/>
              </a:solidFill>
              <a:effectLst/>
              <a:latin typeface="Arial" panose="020B0604020202020204" pitchFamily="34" charset="0"/>
              <a:ea typeface="+mn-ea"/>
              <a:cs typeface="Arial" panose="020B0604020202020204" pitchFamily="34" charset="0"/>
            </a:rPr>
            <a:t>The compilers of this volume are grateful for the help received from the Office for National Statistics, Department for Business &amp; Trade (formerly Department for Business, Energy &amp; Industrial Strategy,) the Crown Estate Commissioners, The Crown Mineral Agent, the Northern Ireland Department for the Economy and the Isle of Man Department for Enterprise. They would also like to acknowledge the valuable assistance given by the World Bureau of Metal Statistics, the UK Iron and Steel Statistics Bureau, the Mineral Products Association, the Coal Authority, Ceramics UK (formerly the  British Ceramic Confederation) and the numerous companies that have generously provided additional information. Data presented would not have been as comprehensive without the particular assistance provided by Aurelie Delannoy (Mineral Products Association) and Lauren Darby (Ceramics UK). This edition of the United Kingdom Minerals Yearbook has been funded via the British Geological Survey’s National Capability programme and the Mineral Products Association.</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165100</xdr:colOff>
      <xdr:row>0</xdr:row>
      <xdr:rowOff>104773</xdr:rowOff>
    </xdr:from>
    <xdr:to>
      <xdr:col>8</xdr:col>
      <xdr:colOff>349250</xdr:colOff>
      <xdr:row>144</xdr:row>
      <xdr:rowOff>180974</xdr:rowOff>
    </xdr:to>
    <xdr:sp macro="" textlink="">
      <xdr:nvSpPr>
        <xdr:cNvPr id="3" name="TextBox 2">
          <a:extLst>
            <a:ext uri="{FF2B5EF4-FFF2-40B4-BE49-F238E27FC236}">
              <a16:creationId xmlns:a16="http://schemas.microsoft.com/office/drawing/2014/main" id="{52148630-6271-3CEB-F313-624EF354EF22}"/>
            </a:ext>
          </a:extLst>
        </xdr:cNvPr>
        <xdr:cNvSpPr txBox="1"/>
      </xdr:nvSpPr>
      <xdr:spPr>
        <a:xfrm>
          <a:off x="165100" y="104773"/>
          <a:ext cx="5060950" cy="26136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chemeClr val="dk1"/>
              </a:solidFill>
              <a:effectLst/>
              <a:latin typeface="Arial" panose="020B0604020202020204" pitchFamily="34" charset="0"/>
              <a:ea typeface="+mn-ea"/>
              <a:cs typeface="Arial" panose="020B0604020202020204" pitchFamily="34" charset="0"/>
            </a:rPr>
            <a:t>Explanatory notes</a:t>
          </a:r>
        </a:p>
        <a:p>
          <a:endParaRPr lang="en-GB" sz="900" b="1">
            <a:solidFill>
              <a:schemeClr val="dk1"/>
            </a:solidFill>
            <a:effectLst/>
            <a:latin typeface="Arial" panose="020B0604020202020204" pitchFamily="34" charset="0"/>
            <a:ea typeface="+mn-ea"/>
            <a:cs typeface="Arial" panose="020B0604020202020204" pitchFamily="34" charset="0"/>
          </a:endParaRPr>
        </a:p>
        <a:p>
          <a:pPr fontAlgn="ctr"/>
          <a:r>
            <a:rPr lang="en-GB" sz="1000" b="1">
              <a:solidFill>
                <a:schemeClr val="dk1"/>
              </a:solidFill>
              <a:effectLst/>
              <a:latin typeface="Arial" panose="020B0604020202020204" pitchFamily="34" charset="0"/>
              <a:ea typeface="+mn-ea"/>
              <a:cs typeface="Arial" panose="020B0604020202020204" pitchFamily="34" charset="0"/>
            </a:rPr>
            <a:t>2023 edition </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The 2023 edition of the UKMY yearbook is in a different format to previous versions, this is to facilitate easer access to the data.  The content remains unchanged, but the format of some tables may have changed from previous years. Please see the contents tab for a list of tables which can be used to navigate this document. </a:t>
          </a:r>
        </a:p>
        <a:p>
          <a:endParaRPr lang="en-GB" sz="1000" b="1">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Coverage</a:t>
          </a:r>
          <a:r>
            <a:rPr lang="en-GB" sz="1000">
              <a:solidFill>
                <a:schemeClr val="dk1"/>
              </a:solidFill>
              <a:effectLst/>
              <a:latin typeface="Arial" panose="020B0604020202020204" pitchFamily="34" charset="0"/>
              <a:ea typeface="+mn-ea"/>
              <a:cs typeface="Arial" panose="020B0604020202020204" pitchFamily="34" charset="0"/>
            </a:rPr>
            <a:t>: Except where otherwise stated all the statistics shown relate to the United Kingdom of Great Britain and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The Channel Islands and the Isle of Man are also included in the ‘United Kingdom’ overseas trade statistics, but are excluded from the production statistics. The UK part of the Continental Shelf is included in both the overseas trade and the production statistics.</a:t>
          </a:r>
        </a:p>
        <a:p>
          <a:pPr fontAlgn="ctr"/>
          <a:r>
            <a:rPr lang="en-GB" sz="1000">
              <a:solidFill>
                <a:schemeClr val="dk1"/>
              </a:solidFill>
              <a:effectLst/>
              <a:latin typeface="Arial" panose="020B0604020202020204" pitchFamily="34" charset="0"/>
              <a:ea typeface="+mn-ea"/>
              <a:cs typeface="Arial" panose="020B0604020202020204" pitchFamily="34" charset="0"/>
            </a:rPr>
            <a:t>All figures for the latest year shown are provisional and subject to revision.</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b="1">
              <a:solidFill>
                <a:schemeClr val="dk1"/>
              </a:solidFill>
              <a:effectLst/>
              <a:latin typeface="Arial" panose="020B0604020202020204" pitchFamily="34" charset="0"/>
              <a:ea typeface="+mn-ea"/>
              <a:cs typeface="Arial" panose="020B0604020202020204" pitchFamily="34" charset="0"/>
            </a:rPr>
            <a:t>Rounding of figures:</a:t>
          </a:r>
          <a:r>
            <a:rPr lang="en-GB" sz="1000">
              <a:solidFill>
                <a:schemeClr val="dk1"/>
              </a:solidFill>
              <a:effectLst/>
              <a:latin typeface="Arial" panose="020B0604020202020204" pitchFamily="34" charset="0"/>
              <a:ea typeface="+mn-ea"/>
              <a:cs typeface="Arial" panose="020B0604020202020204" pitchFamily="34" charset="0"/>
            </a:rPr>
            <a:t> In tables where figures have been rounded to the nearest final digit, there may be a slight discrepancy between the sums of the constituent items and the total as shown.</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b="1">
              <a:solidFill>
                <a:schemeClr val="dk1"/>
              </a:solidFill>
              <a:effectLst/>
              <a:latin typeface="Arial" panose="020B0604020202020204" pitchFamily="34" charset="0"/>
              <a:ea typeface="+mn-ea"/>
              <a:cs typeface="Arial" panose="020B0604020202020204" pitchFamily="34" charset="0"/>
            </a:rPr>
            <a:t>Units:</a:t>
          </a:r>
          <a:r>
            <a:rPr lang="en-GB" sz="1000">
              <a:solidFill>
                <a:schemeClr val="dk1"/>
              </a:solidFill>
              <a:effectLst/>
              <a:latin typeface="Arial" panose="020B0604020202020204" pitchFamily="34" charset="0"/>
              <a:ea typeface="+mn-ea"/>
              <a:cs typeface="Arial" panose="020B0604020202020204" pitchFamily="34" charset="0"/>
            </a:rPr>
            <a:t> The statistics in this volume are expressed in metric units. The following factors are given for converting from or into non–metric units:</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i="1">
              <a:solidFill>
                <a:schemeClr val="dk1"/>
              </a:solidFill>
              <a:effectLst/>
              <a:latin typeface="Arial" panose="020B0604020202020204" pitchFamily="34" charset="0"/>
              <a:ea typeface="+mn-ea"/>
              <a:cs typeface="Arial" panose="020B0604020202020204" pitchFamily="34" charset="0"/>
            </a:rPr>
            <a:t>Troy ounce</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Kilogram</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0.0311035</a:t>
          </a:r>
        </a:p>
        <a:p>
          <a:pPr fontAlgn="ctr"/>
          <a:r>
            <a:rPr lang="en-GB" sz="1000">
              <a:solidFill>
                <a:schemeClr val="dk1"/>
              </a:solidFill>
              <a:effectLst/>
              <a:latin typeface="Arial" panose="020B0604020202020204" pitchFamily="34" charset="0"/>
              <a:ea typeface="+mn-ea"/>
              <a:cs typeface="Arial" panose="020B0604020202020204" pitchFamily="34" charset="0"/>
            </a:rPr>
            <a:t>32.1507	= 1</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i="1">
              <a:solidFill>
                <a:schemeClr val="dk1"/>
              </a:solidFill>
              <a:effectLst/>
              <a:latin typeface="Arial" panose="020B0604020202020204" pitchFamily="34" charset="0"/>
              <a:ea typeface="+mn-ea"/>
              <a:cs typeface="Arial" panose="020B0604020202020204" pitchFamily="34" charset="0"/>
            </a:rPr>
            <a:t>Pound</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Kilogram</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0.453592</a:t>
          </a:r>
        </a:p>
        <a:p>
          <a:pPr fontAlgn="ctr"/>
          <a:r>
            <a:rPr lang="en-GB" sz="1000">
              <a:solidFill>
                <a:schemeClr val="dk1"/>
              </a:solidFill>
              <a:effectLst/>
              <a:latin typeface="Arial" panose="020B0604020202020204" pitchFamily="34" charset="0"/>
              <a:ea typeface="+mn-ea"/>
              <a:cs typeface="Arial" panose="020B0604020202020204" pitchFamily="34" charset="0"/>
            </a:rPr>
            <a:t>2.20462	= 1</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i="1">
              <a:solidFill>
                <a:schemeClr val="dk1"/>
              </a:solidFill>
              <a:effectLst/>
              <a:latin typeface="Arial" panose="020B0604020202020204" pitchFamily="34" charset="0"/>
              <a:ea typeface="+mn-ea"/>
              <a:cs typeface="Arial" panose="020B0604020202020204" pitchFamily="34" charset="0"/>
            </a:rPr>
            <a:t>Hundredweight</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Kilogram</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50.8023</a:t>
          </a:r>
        </a:p>
        <a:p>
          <a:pPr fontAlgn="ctr"/>
          <a:r>
            <a:rPr lang="en-GB" sz="1000">
              <a:solidFill>
                <a:schemeClr val="dk1"/>
              </a:solidFill>
              <a:effectLst/>
              <a:latin typeface="Arial" panose="020B0604020202020204" pitchFamily="34" charset="0"/>
              <a:ea typeface="+mn-ea"/>
              <a:cs typeface="Arial" panose="020B0604020202020204" pitchFamily="34" charset="0"/>
            </a:rPr>
            <a:t>0.019684	= 1</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i="1">
              <a:solidFill>
                <a:schemeClr val="dk1"/>
              </a:solidFill>
              <a:effectLst/>
              <a:latin typeface="Arial" panose="020B0604020202020204" pitchFamily="34" charset="0"/>
              <a:ea typeface="+mn-ea"/>
              <a:cs typeface="Arial" panose="020B0604020202020204" pitchFamily="34" charset="0"/>
            </a:rPr>
            <a:t>Long ton</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Tonne</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1.01605</a:t>
          </a:r>
        </a:p>
        <a:p>
          <a:pPr fontAlgn="ctr"/>
          <a:r>
            <a:rPr lang="en-GB" sz="1000">
              <a:solidFill>
                <a:schemeClr val="dk1"/>
              </a:solidFill>
              <a:effectLst/>
              <a:latin typeface="Arial" panose="020B0604020202020204" pitchFamily="34" charset="0"/>
              <a:ea typeface="+mn-ea"/>
              <a:cs typeface="Arial" panose="020B0604020202020204" pitchFamily="34" charset="0"/>
            </a:rPr>
            <a:t>0.984206	= 1</a:t>
          </a:r>
        </a:p>
        <a:p>
          <a:pPr fontAlgn="ctr"/>
          <a:endParaRPr lang="en-GB" sz="1000" i="1">
            <a:solidFill>
              <a:schemeClr val="dk1"/>
            </a:solidFill>
            <a:effectLst/>
            <a:latin typeface="Arial" panose="020B0604020202020204" pitchFamily="34" charset="0"/>
            <a:ea typeface="+mn-ea"/>
            <a:cs typeface="Arial" panose="020B0604020202020204" pitchFamily="34" charset="0"/>
          </a:endParaRPr>
        </a:p>
        <a:p>
          <a:pPr fontAlgn="ctr"/>
          <a:r>
            <a:rPr lang="en-GB" sz="1000" i="1">
              <a:solidFill>
                <a:schemeClr val="dk1"/>
              </a:solidFill>
              <a:effectLst/>
              <a:latin typeface="Arial" panose="020B0604020202020204" pitchFamily="34" charset="0"/>
              <a:ea typeface="+mn-ea"/>
              <a:cs typeface="Arial" panose="020B0604020202020204" pitchFamily="34" charset="0"/>
            </a:rPr>
            <a:t>Square yard</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Square metre</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0.836127</a:t>
          </a:r>
        </a:p>
        <a:p>
          <a:pPr fontAlgn="ctr"/>
          <a:r>
            <a:rPr lang="en-GB" sz="1000">
              <a:solidFill>
                <a:schemeClr val="dk1"/>
              </a:solidFill>
              <a:effectLst/>
              <a:latin typeface="Arial" panose="020B0604020202020204" pitchFamily="34" charset="0"/>
              <a:ea typeface="+mn-ea"/>
              <a:cs typeface="Arial" panose="020B0604020202020204" pitchFamily="34" charset="0"/>
            </a:rPr>
            <a:t>1.19599	= 1</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i="1">
              <a:solidFill>
                <a:schemeClr val="dk1"/>
              </a:solidFill>
              <a:effectLst/>
              <a:latin typeface="Arial" panose="020B0604020202020204" pitchFamily="34" charset="0"/>
              <a:ea typeface="+mn-ea"/>
              <a:cs typeface="Arial" panose="020B0604020202020204" pitchFamily="34" charset="0"/>
            </a:rPr>
            <a:t>Cubic yard</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Cubic metre</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0.764555</a:t>
          </a:r>
        </a:p>
        <a:p>
          <a:pPr fontAlgn="ctr"/>
          <a:r>
            <a:rPr lang="en-GB" sz="1000">
              <a:solidFill>
                <a:schemeClr val="dk1"/>
              </a:solidFill>
              <a:effectLst/>
              <a:latin typeface="Arial" panose="020B0604020202020204" pitchFamily="34" charset="0"/>
              <a:ea typeface="+mn-ea"/>
              <a:cs typeface="Arial" panose="020B0604020202020204" pitchFamily="34" charset="0"/>
            </a:rPr>
            <a:t>1.30795	= 1</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i="1">
              <a:solidFill>
                <a:schemeClr val="dk1"/>
              </a:solidFill>
              <a:effectLst/>
              <a:latin typeface="Arial" panose="020B0604020202020204" pitchFamily="34" charset="0"/>
              <a:ea typeface="+mn-ea"/>
              <a:cs typeface="Arial" panose="020B0604020202020204" pitchFamily="34" charset="0"/>
            </a:rPr>
            <a:t>UK gallon</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Litre</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1	= 4.54596</a:t>
          </a:r>
        </a:p>
        <a:p>
          <a:pPr fontAlgn="ctr"/>
          <a:r>
            <a:rPr lang="en-GB" sz="1000">
              <a:solidFill>
                <a:schemeClr val="dk1"/>
              </a:solidFill>
              <a:effectLst/>
              <a:latin typeface="Arial" panose="020B0604020202020204" pitchFamily="34" charset="0"/>
              <a:ea typeface="+mn-ea"/>
              <a:cs typeface="Arial" panose="020B0604020202020204" pitchFamily="34" charset="0"/>
            </a:rPr>
            <a:t>0.2199755	= 1</a:t>
          </a:r>
        </a:p>
        <a:p>
          <a:pPr fontAlgn="ct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b="1">
              <a:solidFill>
                <a:schemeClr val="dk1"/>
              </a:solidFill>
              <a:effectLst/>
              <a:latin typeface="Arial" panose="020B0604020202020204" pitchFamily="34" charset="0"/>
              <a:ea typeface="+mn-ea"/>
              <a:cs typeface="Arial" panose="020B0604020202020204" pitchFamily="34" charset="0"/>
            </a:rPr>
            <a:t>Symbols:</a:t>
          </a:r>
          <a:r>
            <a:rPr lang="en-GB" sz="1000">
              <a:solidFill>
                <a:schemeClr val="dk1"/>
              </a:solidFill>
              <a:effectLst/>
              <a:latin typeface="Arial" panose="020B0604020202020204" pitchFamily="34" charset="0"/>
              <a:ea typeface="+mn-ea"/>
              <a:cs typeface="Arial" panose="020B0604020202020204" pitchFamily="34" charset="0"/>
            </a:rPr>
            <a:t> The following symbols are used throughout:</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0	Quantity less than half the unit shown</a:t>
          </a:r>
        </a:p>
        <a:p>
          <a:pPr fontAlgn="ctr"/>
          <a:r>
            <a:rPr lang="en-GB" sz="1000">
              <a:solidFill>
                <a:schemeClr val="dk1"/>
              </a:solidFill>
              <a:effectLst/>
              <a:latin typeface="Arial" panose="020B0604020202020204" pitchFamily="34" charset="0"/>
              <a:ea typeface="+mn-ea"/>
              <a:cs typeface="Arial" panose="020B0604020202020204" pitchFamily="34" charset="0"/>
            </a:rPr>
            <a:t>—	Nil</a:t>
          </a:r>
        </a:p>
        <a:p>
          <a:pPr fontAlgn="ctr"/>
          <a:r>
            <a:rPr lang="en-GB" sz="1000">
              <a:solidFill>
                <a:schemeClr val="dk1"/>
              </a:solidFill>
              <a:effectLst/>
              <a:latin typeface="Arial" panose="020B0604020202020204" pitchFamily="34" charset="0"/>
              <a:ea typeface="+mn-ea"/>
              <a:cs typeface="Arial" panose="020B0604020202020204" pitchFamily="34" charset="0"/>
            </a:rPr>
            <a:t>BGS	British Geological Survey</a:t>
          </a:r>
        </a:p>
        <a:p>
          <a:pPr fontAlgn="ctr"/>
          <a:r>
            <a:rPr lang="en-GB" sz="1000">
              <a:solidFill>
                <a:schemeClr val="dk1"/>
              </a:solidFill>
              <a:effectLst/>
              <a:latin typeface="Arial" panose="020B0604020202020204" pitchFamily="34" charset="0"/>
              <a:ea typeface="+mn-ea"/>
              <a:cs typeface="Arial" panose="020B0604020202020204" pitchFamily="34" charset="0"/>
            </a:rPr>
            <a:t>Blank cells indicate the figure is unavailable </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b="1">
              <a:solidFill>
                <a:schemeClr val="dk1"/>
              </a:solidFill>
              <a:effectLst/>
              <a:latin typeface="Arial" panose="020B0604020202020204" pitchFamily="34" charset="0"/>
              <a:ea typeface="+mn-ea"/>
              <a:cs typeface="Arial" panose="020B0604020202020204" pitchFamily="34" charset="0"/>
            </a:rPr>
            <a:t>Apparent consumption:</a:t>
          </a:r>
          <a:r>
            <a:rPr lang="en-GB" sz="1000">
              <a:solidFill>
                <a:schemeClr val="dk1"/>
              </a:solidFill>
              <a:effectLst/>
              <a:latin typeface="Arial" panose="020B0604020202020204" pitchFamily="34" charset="0"/>
              <a:ea typeface="+mn-ea"/>
              <a:cs typeface="Arial" panose="020B0604020202020204" pitchFamily="34" charset="0"/>
            </a:rPr>
            <a:t> BGS estimates of apparent consumption of metals are based on the formula: Consumption = Production (primary and secondary) + Imports - Exports. All the main traded forms of the metal are taken into account, for example, ores, concentrates, intermediate products, unwrought metal and alloys, oxides, etc. Figures are given in terms of metal content. No information is available for stock changes. Such estimates of apparent consumption are made for metals for which there are no reported consumption statistics: in this edition data are given for chromium, cobalt, manganese, molybdenum, titanium and zirconium.</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b="1">
              <a:solidFill>
                <a:schemeClr val="dk1"/>
              </a:solidFill>
              <a:effectLst/>
              <a:latin typeface="Arial" panose="020B0604020202020204" pitchFamily="34" charset="0"/>
              <a:ea typeface="+mn-ea"/>
              <a:cs typeface="Arial" panose="020B0604020202020204" pitchFamily="34" charset="0"/>
            </a:rPr>
            <a:t>Trade:</a:t>
          </a:r>
          <a:r>
            <a:rPr lang="en-GB" sz="1000">
              <a:solidFill>
                <a:schemeClr val="dk1"/>
              </a:solidFill>
              <a:effectLst/>
              <a:latin typeface="Arial" panose="020B0604020202020204" pitchFamily="34" charset="0"/>
              <a:ea typeface="+mn-ea"/>
              <a:cs typeface="Arial" panose="020B0604020202020204" pitchFamily="34" charset="0"/>
            </a:rPr>
            <a:t> Trade figures from INTRASTAT, the system for measuring intra–EC trade became available from 1993. This was introduced following the abolition of customs controls as a result of the Single Market and trade figures are now compiled from data provided directly from companies instead of Customs documents. Extra–EC trade continues to be collected from Customs declarations as before. The transition from one system to another has produced some anomalous figures in terms of the size of the trade in and unit value of certain commodities. These factors should be taken into consideration when evaluating trends. Figures given in this edition are the combined intra and extra–EC trade data.</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Values of commodities are c.i.f. (Cost, Insurance and Freight) for imports and f.o.b. (free on board) for exports.</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The terms ‘scrap’, ‘unwrought’ and ‘wrought’ metal include alloys unless these are separately shown.</a:t>
          </a:r>
        </a:p>
        <a:p>
          <a:pPr fontAlgn="ctr"/>
          <a:endParaRPr lang="en-GB" sz="1000" b="1">
            <a:solidFill>
              <a:schemeClr val="dk1"/>
            </a:solidFill>
            <a:effectLst/>
            <a:latin typeface="Arial" panose="020B0604020202020204" pitchFamily="34" charset="0"/>
            <a:ea typeface="+mn-ea"/>
            <a:cs typeface="Arial" panose="020B0604020202020204" pitchFamily="34" charset="0"/>
          </a:endParaRPr>
        </a:p>
        <a:p>
          <a:r>
            <a:rPr lang="en-GB" sz="1000" b="1" cap="all">
              <a:solidFill>
                <a:schemeClr val="dk1"/>
              </a:solidFill>
              <a:effectLst/>
              <a:latin typeface="Arial" panose="020B0604020202020204" pitchFamily="34" charset="0"/>
              <a:ea typeface="+mn-ea"/>
              <a:cs typeface="Arial" panose="020B0604020202020204" pitchFamily="34" charset="0"/>
            </a:rPr>
            <a:t>Exclusion of warranty</a:t>
          </a:r>
        </a:p>
        <a:p>
          <a:pPr fontAlgn="ctr"/>
          <a:r>
            <a:rPr lang="en-GB" sz="1000">
              <a:solidFill>
                <a:schemeClr val="dk1"/>
              </a:solidFill>
              <a:effectLst/>
              <a:latin typeface="Arial" panose="020B0604020202020204" pitchFamily="34" charset="0"/>
              <a:ea typeface="+mn-ea"/>
              <a:cs typeface="Arial" panose="020B0604020202020204" pitchFamily="34" charset="0"/>
            </a:rPr>
            <a:t>Use by recipients of information provided by the BGS, is at the recipients’ own risk. BGS has taken care to ensure that information provided is as free from error as is reasonably practical. In view of the disparate sources of information at BGS’s disposal, including such material donated to BGS, that BGS accepts in good faith as being accurate, UK Research and Innovation (UKRI), the Natural Environment Research Council (NERC) and BGS give no warranty, expressed or implied, as to the quality, accuracy, performance, and merchantability of the information supplied, or to the information’s suitability for any use whether made known to BGS or otherwise. UKRI/NERC/BGS accept no liability whatever in respect of loss, damage, injury or other occurrence however caused.</a:t>
          </a:r>
        </a:p>
        <a:p>
          <a:r>
            <a:rPr lang="en-GB" sz="1000" b="1" cap="all">
              <a:solidFill>
                <a:schemeClr val="dk1"/>
              </a:solidFill>
              <a:effectLst/>
              <a:latin typeface="Arial" panose="020B0604020202020204" pitchFamily="34" charset="0"/>
              <a:ea typeface="+mn-ea"/>
              <a:cs typeface="Arial" panose="020B0604020202020204" pitchFamily="34" charset="0"/>
            </a:rPr>
            <a:t>Sources of information</a:t>
          </a:r>
        </a:p>
        <a:p>
          <a:pPr fontAlgn="ctr"/>
          <a:r>
            <a:rPr lang="en-GB" sz="1000">
              <a:solidFill>
                <a:schemeClr val="dk1"/>
              </a:solidFill>
              <a:effectLst/>
              <a:latin typeface="Arial" panose="020B0604020202020204" pitchFamily="34" charset="0"/>
              <a:ea typeface="+mn-ea"/>
              <a:cs typeface="Arial" panose="020B0604020202020204" pitchFamily="34" charset="0"/>
            </a:rPr>
            <a:t>In compiling this volume the BGS has largely relied upon data originally collected by other bodies. A list of the departments and organisations concerned is given below, together with the titles of principal publications that have been used. In many cases the BGS has also been provided with supplementary or unpublished information. Interested readers are strongly advised to consult the original sources themselves wherever possible and in this connection may wish to refer not only to the publications as listed here, but also earlier issues in the same series, some of which were published under different titles.</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Information about the production of minerals in the United Kingdom is given from 1853 to 1881 in a series of Geological Survey Memoirs entitled </a:t>
          </a:r>
          <a:r>
            <a:rPr lang="en-GB" sz="1000" i="1">
              <a:solidFill>
                <a:schemeClr val="dk1"/>
              </a:solidFill>
              <a:effectLst/>
              <a:latin typeface="Arial" panose="020B0604020202020204" pitchFamily="34" charset="0"/>
              <a:ea typeface="+mn-ea"/>
              <a:cs typeface="Arial" panose="020B0604020202020204" pitchFamily="34" charset="0"/>
            </a:rPr>
            <a:t>Mineral Statistics</a:t>
          </a:r>
          <a:r>
            <a:rPr lang="en-GB" sz="1000">
              <a:solidFill>
                <a:schemeClr val="dk1"/>
              </a:solidFill>
              <a:effectLst/>
              <a:latin typeface="Arial" panose="020B0604020202020204" pitchFamily="34" charset="0"/>
              <a:ea typeface="+mn-ea"/>
              <a:cs typeface="Arial" panose="020B0604020202020204" pitchFamily="34" charset="0"/>
            </a:rPr>
            <a:t>, by Robert Hunt, Keeper of Mining Records; earlier information for certain metalliferous minerals is also available. Since 1873 all collieries and metalliferous mines have been required by statute to complete annual returns of production, and since 1895 the same has applied to quarries. These returns were made to the Home Office, which, in 1882, was made responsible for the publication of </a:t>
          </a:r>
          <a:r>
            <a:rPr lang="en-GB" sz="1000" i="1">
              <a:solidFill>
                <a:schemeClr val="dk1"/>
              </a:solidFill>
              <a:effectLst/>
              <a:latin typeface="Arial" panose="020B0604020202020204" pitchFamily="34" charset="0"/>
              <a:ea typeface="+mn-ea"/>
              <a:cs typeface="Arial" panose="020B0604020202020204" pitchFamily="34" charset="0"/>
            </a:rPr>
            <a:t>Mineral Statistics</a:t>
          </a:r>
          <a:r>
            <a:rPr lang="en-GB" sz="1000">
              <a:solidFill>
                <a:schemeClr val="dk1"/>
              </a:solidFill>
              <a:effectLst/>
              <a:latin typeface="Arial" panose="020B0604020202020204" pitchFamily="34" charset="0"/>
              <a:ea typeface="+mn-ea"/>
              <a:cs typeface="Arial" panose="020B0604020202020204" pitchFamily="34" charset="0"/>
            </a:rPr>
            <a:t>. In 1920 responsibility for collection of returns was transferred to the Mines Department (Board of Trade) and statistics were subsequently published in the Annual Reports of the Secretary of Mines. The Mines Department was incorporated into the Ministry of Fuel and Power in 1942 and statistics from 1938 to 1972 were published in their Statistical Digests (subsequently the Digests of Energy Statistics of the Department of Trade and Industry). In 1973 responsibility for the collection of returns relating to most minerals other than fuels was transferred to the Business Statistics Office (formerly part of the Department of Trade and Industry, now the Office for National Statistics). The Annual Minerals Raised Inquiry was conducted by the Office for National Statistics and published annually as </a:t>
          </a:r>
          <a:r>
            <a:rPr lang="en-GB" sz="1000" i="1">
              <a:solidFill>
                <a:schemeClr val="dk1"/>
              </a:solidFill>
              <a:effectLst/>
              <a:latin typeface="Arial" panose="020B0604020202020204" pitchFamily="34" charset="0"/>
              <a:ea typeface="+mn-ea"/>
              <a:cs typeface="Arial" panose="020B0604020202020204" pitchFamily="34" charset="0"/>
            </a:rPr>
            <a:t>Mineral Extraction in Great Britain</a:t>
          </a:r>
          <a:r>
            <a:rPr lang="en-GB" sz="1000">
              <a:solidFill>
                <a:schemeClr val="dk1"/>
              </a:solidFill>
              <a:effectLst/>
              <a:latin typeface="Arial" panose="020B0604020202020204" pitchFamily="34" charset="0"/>
              <a:ea typeface="+mn-ea"/>
              <a:cs typeface="Arial" panose="020B0604020202020204" pitchFamily="34" charset="0"/>
            </a:rPr>
            <a:t> until early 2016 (the last year of data is 2014). For 2015 onwards this volume has attempted to obtain data from alternative sources to fill as many of the data gaps as possible. These sources include the Mineral Products Association and Ceramics UK (amongst others). The Department for Energy Security and Net Zero (formerly Department of Business, Energy and Industrial Strategy), collects statistics relating to hydrocarbons (natural gas and crude petroleum). Statistics on coal production are collected by The Coal Authority. Details of mineral production in Northern Ireland since 1922 have been obtained by the Northern Ireland Government. data from Government sources has been used under the Open Government Licence</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1853–1881 </a:t>
          </a:r>
          <a:r>
            <a:rPr lang="en-GB" sz="1000" i="1">
              <a:solidFill>
                <a:schemeClr val="dk1"/>
              </a:solidFill>
              <a:effectLst/>
              <a:latin typeface="Arial" panose="020B0604020202020204" pitchFamily="34" charset="0"/>
              <a:ea typeface="+mn-ea"/>
              <a:cs typeface="Arial" panose="020B0604020202020204" pitchFamily="34" charset="0"/>
            </a:rPr>
            <a:t>Mineral Statistics</a:t>
          </a:r>
          <a:r>
            <a:rPr lang="en-GB" sz="1000">
              <a:solidFill>
                <a:schemeClr val="dk1"/>
              </a:solidFill>
              <a:effectLst/>
              <a:latin typeface="Arial" panose="020B0604020202020204" pitchFamily="34" charset="0"/>
              <a:ea typeface="+mn-ea"/>
              <a:cs typeface="Arial" panose="020B0604020202020204" pitchFamily="34" charset="0"/>
            </a:rPr>
            <a:t>, by Robert Hunt, Keeper of Mining Records; Memoirs of the Geological Survey</a:t>
          </a:r>
        </a:p>
        <a:p>
          <a:pPr fontAlgn="ctr"/>
          <a:r>
            <a:rPr lang="en-GB" sz="1000">
              <a:solidFill>
                <a:schemeClr val="dk1"/>
              </a:solidFill>
              <a:effectLst/>
              <a:latin typeface="Arial" panose="020B0604020202020204" pitchFamily="34" charset="0"/>
              <a:ea typeface="+mn-ea"/>
              <a:cs typeface="Arial" panose="020B0604020202020204" pitchFamily="34" charset="0"/>
            </a:rPr>
            <a:t>1882–1896 </a:t>
          </a:r>
          <a:r>
            <a:rPr lang="en-GB" sz="1000" i="1">
              <a:solidFill>
                <a:schemeClr val="dk1"/>
              </a:solidFill>
              <a:effectLst/>
              <a:latin typeface="Arial" panose="020B0604020202020204" pitchFamily="34" charset="0"/>
              <a:ea typeface="+mn-ea"/>
              <a:cs typeface="Arial" panose="020B0604020202020204" pitchFamily="34" charset="0"/>
            </a:rPr>
            <a:t>Mineral Statistics</a:t>
          </a:r>
          <a:r>
            <a:rPr lang="en-GB" sz="1000">
              <a:solidFill>
                <a:schemeClr val="dk1"/>
              </a:solidFill>
              <a:effectLst/>
              <a:latin typeface="Arial" panose="020B0604020202020204" pitchFamily="34" charset="0"/>
              <a:ea typeface="+mn-ea"/>
              <a:cs typeface="Arial" panose="020B0604020202020204" pitchFamily="34" charset="0"/>
            </a:rPr>
            <a:t>; Home Office</a:t>
          </a:r>
        </a:p>
        <a:p>
          <a:pPr fontAlgn="ctr"/>
          <a:r>
            <a:rPr lang="en-GB" sz="1000">
              <a:solidFill>
                <a:schemeClr val="dk1"/>
              </a:solidFill>
              <a:effectLst/>
              <a:latin typeface="Arial" panose="020B0604020202020204" pitchFamily="34" charset="0"/>
              <a:ea typeface="+mn-ea"/>
              <a:cs typeface="Arial" panose="020B0604020202020204" pitchFamily="34" charset="0"/>
            </a:rPr>
            <a:t>1897–1919 </a:t>
          </a:r>
          <a:r>
            <a:rPr lang="en-GB" sz="1000" i="1">
              <a:solidFill>
                <a:schemeClr val="dk1"/>
              </a:solidFill>
              <a:effectLst/>
              <a:latin typeface="Arial" panose="020B0604020202020204" pitchFamily="34" charset="0"/>
              <a:ea typeface="+mn-ea"/>
              <a:cs typeface="Arial" panose="020B0604020202020204" pitchFamily="34" charset="0"/>
            </a:rPr>
            <a:t>Mines and Quarries</a:t>
          </a:r>
          <a:r>
            <a:rPr lang="en-GB" sz="1000">
              <a:solidFill>
                <a:schemeClr val="dk1"/>
              </a:solidFill>
              <a:effectLst/>
              <a:latin typeface="Arial" panose="020B0604020202020204" pitchFamily="34" charset="0"/>
              <a:ea typeface="+mn-ea"/>
              <a:cs typeface="Arial" panose="020B0604020202020204" pitchFamily="34" charset="0"/>
            </a:rPr>
            <a:t>: General Report with Statistics; Home Office</a:t>
          </a:r>
        </a:p>
        <a:p>
          <a:pPr fontAlgn="ctr"/>
          <a:r>
            <a:rPr lang="en-GB" sz="1000">
              <a:solidFill>
                <a:schemeClr val="dk1"/>
              </a:solidFill>
              <a:effectLst/>
              <a:latin typeface="Arial" panose="020B0604020202020204" pitchFamily="34" charset="0"/>
              <a:ea typeface="+mn-ea"/>
              <a:cs typeface="Arial" panose="020B0604020202020204" pitchFamily="34" charset="0"/>
            </a:rPr>
            <a:t>1920 </a:t>
          </a:r>
          <a:r>
            <a:rPr lang="en-GB" sz="1000" i="1">
              <a:solidFill>
                <a:schemeClr val="dk1"/>
              </a:solidFill>
              <a:effectLst/>
              <a:latin typeface="Arial" panose="020B0604020202020204" pitchFamily="34" charset="0"/>
              <a:ea typeface="+mn-ea"/>
              <a:cs typeface="Arial" panose="020B0604020202020204" pitchFamily="34" charset="0"/>
            </a:rPr>
            <a:t>Mines and Quarries</a:t>
          </a:r>
          <a:r>
            <a:rPr lang="en-GB" sz="1000">
              <a:solidFill>
                <a:schemeClr val="dk1"/>
              </a:solidFill>
              <a:effectLst/>
              <a:latin typeface="Arial" panose="020B0604020202020204" pitchFamily="34" charset="0"/>
              <a:ea typeface="+mn-ea"/>
              <a:cs typeface="Arial" panose="020B0604020202020204" pitchFamily="34" charset="0"/>
            </a:rPr>
            <a:t>: General Report with Statistics; Mines Department, Board of Trade</a:t>
          </a:r>
        </a:p>
        <a:p>
          <a:pPr fontAlgn="ctr"/>
          <a:r>
            <a:rPr lang="en-GB" sz="1000">
              <a:solidFill>
                <a:schemeClr val="dk1"/>
              </a:solidFill>
              <a:effectLst/>
              <a:latin typeface="Arial" panose="020B0604020202020204" pitchFamily="34" charset="0"/>
              <a:ea typeface="+mn-ea"/>
              <a:cs typeface="Arial" panose="020B0604020202020204" pitchFamily="34" charset="0"/>
            </a:rPr>
            <a:t>1921–1938 </a:t>
          </a:r>
          <a:r>
            <a:rPr lang="en-GB" sz="1000" i="1">
              <a:solidFill>
                <a:schemeClr val="dk1"/>
              </a:solidFill>
              <a:effectLst/>
              <a:latin typeface="Arial" panose="020B0604020202020204" pitchFamily="34" charset="0"/>
              <a:ea typeface="+mn-ea"/>
              <a:cs typeface="Arial" panose="020B0604020202020204" pitchFamily="34" charset="0"/>
            </a:rPr>
            <a:t>Annual Report of the Secretary of Mines</a:t>
          </a:r>
          <a:r>
            <a:rPr lang="en-GB" sz="1000">
              <a:solidFill>
                <a:schemeClr val="dk1"/>
              </a:solidFill>
              <a:effectLst/>
              <a:latin typeface="Arial" panose="020B0604020202020204" pitchFamily="34" charset="0"/>
              <a:ea typeface="+mn-ea"/>
              <a:cs typeface="Arial" panose="020B0604020202020204" pitchFamily="34" charset="0"/>
            </a:rPr>
            <a:t>; Mines Department, Board of Trade (Great Britain only from 1922)</a:t>
          </a:r>
        </a:p>
        <a:p>
          <a:pPr fontAlgn="ctr"/>
          <a:r>
            <a:rPr lang="en-GB" sz="1000">
              <a:solidFill>
                <a:schemeClr val="dk1"/>
              </a:solidFill>
              <a:effectLst/>
              <a:latin typeface="Arial" panose="020B0604020202020204" pitchFamily="34" charset="0"/>
              <a:ea typeface="+mn-ea"/>
              <a:cs typeface="Arial" panose="020B0604020202020204" pitchFamily="34" charset="0"/>
            </a:rPr>
            <a:t>1938–1972 </a:t>
          </a:r>
          <a:r>
            <a:rPr lang="en-GB" sz="1000" i="1">
              <a:solidFill>
                <a:schemeClr val="dk1"/>
              </a:solidFill>
              <a:effectLst/>
              <a:latin typeface="Arial" panose="020B0604020202020204" pitchFamily="34" charset="0"/>
              <a:ea typeface="+mn-ea"/>
              <a:cs typeface="Arial" panose="020B0604020202020204" pitchFamily="34" charset="0"/>
            </a:rPr>
            <a:t>Statistical Digest</a:t>
          </a:r>
          <a:r>
            <a:rPr lang="en-GB" sz="1000">
              <a:solidFill>
                <a:schemeClr val="dk1"/>
              </a:solidFill>
              <a:effectLst/>
              <a:latin typeface="Arial" panose="020B0604020202020204" pitchFamily="34" charset="0"/>
              <a:ea typeface="+mn-ea"/>
              <a:cs typeface="Arial" panose="020B0604020202020204" pitchFamily="34" charset="0"/>
            </a:rPr>
            <a:t>; Ministry of Fuel and Power (Great Britain only)</a:t>
          </a:r>
        </a:p>
        <a:p>
          <a:pPr fontAlgn="ctr"/>
          <a:r>
            <a:rPr lang="en-GB" sz="1000">
              <a:solidFill>
                <a:schemeClr val="dk1"/>
              </a:solidFill>
              <a:effectLst/>
              <a:latin typeface="Arial" panose="020B0604020202020204" pitchFamily="34" charset="0"/>
              <a:ea typeface="+mn-ea"/>
              <a:cs typeface="Arial" panose="020B0604020202020204" pitchFamily="34" charset="0"/>
            </a:rPr>
            <a:t>1973–2021 </a:t>
          </a:r>
          <a:r>
            <a:rPr lang="en-GB" sz="1000" i="1">
              <a:solidFill>
                <a:schemeClr val="dk1"/>
              </a:solidFill>
              <a:effectLst/>
              <a:latin typeface="Arial" panose="020B0604020202020204" pitchFamily="34" charset="0"/>
              <a:ea typeface="+mn-ea"/>
              <a:cs typeface="Arial" panose="020B0604020202020204" pitchFamily="34" charset="0"/>
            </a:rPr>
            <a:t>Digest of United Kingdom Energy Statistics; </a:t>
          </a:r>
          <a:r>
            <a:rPr lang="en-GB" sz="1000">
              <a:solidFill>
                <a:schemeClr val="dk1"/>
              </a:solidFill>
              <a:effectLst/>
              <a:latin typeface="Arial" panose="020B0604020202020204" pitchFamily="34" charset="0"/>
              <a:ea typeface="+mn-ea"/>
              <a:cs typeface="Arial" panose="020B0604020202020204" pitchFamily="34" charset="0"/>
            </a:rPr>
            <a:t>Department for Business, Energy and Industrial Strategy (formerly published by Department of Energy and Climate Change, Department for Business Enterprise and Regulatory Reform, Department of Trade and Industry or Department of Energy)</a:t>
          </a:r>
        </a:p>
        <a:p>
          <a:pPr fontAlgn="ctr"/>
          <a:r>
            <a:rPr lang="en-GB" sz="1000">
              <a:solidFill>
                <a:schemeClr val="dk1"/>
              </a:solidFill>
              <a:effectLst/>
              <a:latin typeface="Arial" panose="020B0604020202020204" pitchFamily="34" charset="0"/>
              <a:ea typeface="+mn-ea"/>
              <a:cs typeface="Arial" panose="020B0604020202020204" pitchFamily="34" charset="0"/>
            </a:rPr>
            <a:t>1973–1993 </a:t>
          </a:r>
          <a:r>
            <a:rPr lang="en-GB" sz="1000" i="1">
              <a:solidFill>
                <a:schemeClr val="dk1"/>
              </a:solidFill>
              <a:effectLst/>
              <a:latin typeface="Arial" panose="020B0604020202020204" pitchFamily="34" charset="0"/>
              <a:ea typeface="+mn-ea"/>
              <a:cs typeface="Arial" panose="020B0604020202020204" pitchFamily="34" charset="0"/>
            </a:rPr>
            <a:t>Minerals (PA1007)</a:t>
          </a:r>
          <a:r>
            <a:rPr lang="en-GB" sz="1000">
              <a:solidFill>
                <a:schemeClr val="dk1"/>
              </a:solidFill>
              <a:effectLst/>
              <a:latin typeface="Arial" panose="020B0604020202020204" pitchFamily="34" charset="0"/>
              <a:ea typeface="+mn-ea"/>
              <a:cs typeface="Arial" panose="020B0604020202020204" pitchFamily="34" charset="0"/>
            </a:rPr>
            <a:t>; Central Statistical Office</a:t>
          </a:r>
        </a:p>
        <a:p>
          <a:pPr fontAlgn="ctr"/>
          <a:r>
            <a:rPr lang="en-GB" sz="1000">
              <a:solidFill>
                <a:schemeClr val="dk1"/>
              </a:solidFill>
              <a:effectLst/>
              <a:latin typeface="Arial" panose="020B0604020202020204" pitchFamily="34" charset="0"/>
              <a:ea typeface="+mn-ea"/>
              <a:cs typeface="Arial" panose="020B0604020202020204" pitchFamily="34" charset="0"/>
            </a:rPr>
            <a:t>1994–2014 </a:t>
          </a:r>
          <a:r>
            <a:rPr lang="en-GB" sz="1000" i="1">
              <a:solidFill>
                <a:schemeClr val="dk1"/>
              </a:solidFill>
              <a:effectLst/>
              <a:latin typeface="Arial" panose="020B0604020202020204" pitchFamily="34" charset="0"/>
              <a:ea typeface="+mn-ea"/>
              <a:cs typeface="Arial" panose="020B0604020202020204" pitchFamily="34" charset="0"/>
            </a:rPr>
            <a:t>Mineral Extraction in Great Britain</a:t>
          </a:r>
          <a:r>
            <a:rPr lang="en-GB" sz="1000">
              <a:solidFill>
                <a:schemeClr val="dk1"/>
              </a:solidFill>
              <a:effectLst/>
              <a:latin typeface="Arial" panose="020B0604020202020204" pitchFamily="34" charset="0"/>
              <a:ea typeface="+mn-ea"/>
              <a:cs typeface="Arial" panose="020B0604020202020204" pitchFamily="34" charset="0"/>
            </a:rPr>
            <a:t> (PA 1007); Office for National Statistics</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1922–1949 </a:t>
          </a:r>
          <a:r>
            <a:rPr lang="en-GB" sz="1000" i="1">
              <a:solidFill>
                <a:schemeClr val="dk1"/>
              </a:solidFill>
              <a:effectLst/>
              <a:latin typeface="Arial" panose="020B0604020202020204" pitchFamily="34" charset="0"/>
              <a:ea typeface="+mn-ea"/>
              <a:cs typeface="Arial" panose="020B0604020202020204" pitchFamily="34" charset="0"/>
            </a:rPr>
            <a:t>Annual Report of the Mining and Quarrying industries in Northern Ireland</a:t>
          </a:r>
          <a:r>
            <a:rPr lang="en-GB" sz="1000">
              <a:solidFill>
                <a:schemeClr val="dk1"/>
              </a:solidFill>
              <a:effectLst/>
              <a:latin typeface="Arial" panose="020B0604020202020204" pitchFamily="34" charset="0"/>
              <a:ea typeface="+mn-ea"/>
              <a:cs typeface="Arial" panose="020B0604020202020204" pitchFamily="34" charset="0"/>
            </a:rPr>
            <a:t>; Ministry of Commerce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1950–1981 </a:t>
          </a:r>
          <a:r>
            <a:rPr lang="en-GB" sz="1000" i="1">
              <a:solidFill>
                <a:schemeClr val="dk1"/>
              </a:solidFill>
              <a:effectLst/>
              <a:latin typeface="Arial" panose="020B0604020202020204" pitchFamily="34" charset="0"/>
              <a:ea typeface="+mn-ea"/>
              <a:cs typeface="Arial" panose="020B0604020202020204" pitchFamily="34" charset="0"/>
            </a:rPr>
            <a:t>Mineral Production in Northern Ireland</a:t>
          </a:r>
          <a:r>
            <a:rPr lang="en-GB" sz="1000">
              <a:solidFill>
                <a:schemeClr val="dk1"/>
              </a:solidFill>
              <a:effectLst/>
              <a:latin typeface="Arial" panose="020B0604020202020204" pitchFamily="34" charset="0"/>
              <a:ea typeface="+mn-ea"/>
              <a:cs typeface="Arial" panose="020B0604020202020204" pitchFamily="34" charset="0"/>
            </a:rPr>
            <a:t>; Department of Commerce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1982–1995 </a:t>
          </a:r>
          <a:r>
            <a:rPr lang="en-GB" sz="1000" i="1">
              <a:solidFill>
                <a:schemeClr val="dk1"/>
              </a:solidFill>
              <a:effectLst/>
              <a:latin typeface="Arial" panose="020B0604020202020204" pitchFamily="34" charset="0"/>
              <a:ea typeface="+mn-ea"/>
              <a:cs typeface="Arial" panose="020B0604020202020204" pitchFamily="34" charset="0"/>
            </a:rPr>
            <a:t>Mineral Production in Northern Ireland</a:t>
          </a:r>
          <a:r>
            <a:rPr lang="en-GB" sz="1000">
              <a:solidFill>
                <a:schemeClr val="dk1"/>
              </a:solidFill>
              <a:effectLst/>
              <a:latin typeface="Arial" panose="020B0604020202020204" pitchFamily="34" charset="0"/>
              <a:ea typeface="+mn-ea"/>
              <a:cs typeface="Arial" panose="020B0604020202020204" pitchFamily="34" charset="0"/>
            </a:rPr>
            <a:t>; Department of Economic Development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1996–1998 </a:t>
          </a:r>
          <a:r>
            <a:rPr lang="en-GB" sz="1000" i="1">
              <a:solidFill>
                <a:schemeClr val="dk1"/>
              </a:solidFill>
              <a:effectLst/>
              <a:latin typeface="Arial" panose="020B0604020202020204" pitchFamily="34" charset="0"/>
              <a:ea typeface="+mn-ea"/>
              <a:cs typeface="Arial" panose="020B0604020202020204" pitchFamily="34" charset="0"/>
            </a:rPr>
            <a:t>Annual Minerals Statement</a:t>
          </a:r>
          <a:r>
            <a:rPr lang="en-GB" sz="1000">
              <a:solidFill>
                <a:schemeClr val="dk1"/>
              </a:solidFill>
              <a:effectLst/>
              <a:latin typeface="Arial" panose="020B0604020202020204" pitchFamily="34" charset="0"/>
              <a:ea typeface="+mn-ea"/>
              <a:cs typeface="Arial" panose="020B0604020202020204" pitchFamily="34" charset="0"/>
            </a:rPr>
            <a:t>; Department of Economic Development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1999–2011 </a:t>
          </a:r>
          <a:r>
            <a:rPr lang="en-GB" sz="1000" i="1">
              <a:solidFill>
                <a:schemeClr val="dk1"/>
              </a:solidFill>
              <a:effectLst/>
              <a:latin typeface="Arial" panose="020B0604020202020204" pitchFamily="34" charset="0"/>
              <a:ea typeface="+mn-ea"/>
              <a:cs typeface="Arial" panose="020B0604020202020204" pitchFamily="34" charset="0"/>
            </a:rPr>
            <a:t>Annual Mineral Statement</a:t>
          </a:r>
          <a:r>
            <a:rPr lang="en-GB" sz="1000">
              <a:solidFill>
                <a:schemeClr val="dk1"/>
              </a:solidFill>
              <a:effectLst/>
              <a:latin typeface="Arial" panose="020B0604020202020204" pitchFamily="34" charset="0"/>
              <a:ea typeface="+mn-ea"/>
              <a:cs typeface="Arial" panose="020B0604020202020204" pitchFamily="34" charset="0"/>
            </a:rPr>
            <a:t>; Department of Enterprise, Trade and Investment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2012–2020 </a:t>
          </a:r>
          <a:r>
            <a:rPr lang="en-GB" sz="1000" i="1">
              <a:solidFill>
                <a:schemeClr val="dk1"/>
              </a:solidFill>
              <a:effectLst/>
              <a:latin typeface="Arial" panose="020B0604020202020204" pitchFamily="34" charset="0"/>
              <a:ea typeface="+mn-ea"/>
              <a:cs typeface="Arial" panose="020B0604020202020204" pitchFamily="34" charset="0"/>
            </a:rPr>
            <a:t>Annual Mineral Statement</a:t>
          </a:r>
          <a:r>
            <a:rPr lang="en-GB" sz="1000">
              <a:solidFill>
                <a:schemeClr val="dk1"/>
              </a:solidFill>
              <a:effectLst/>
              <a:latin typeface="Arial" panose="020B0604020202020204" pitchFamily="34" charset="0"/>
              <a:ea typeface="+mn-ea"/>
              <a:cs typeface="Arial" panose="020B0604020202020204" pitchFamily="34" charset="0"/>
            </a:rPr>
            <a:t>; Department for the Economy (Northern Ireland)</a:t>
          </a:r>
        </a:p>
        <a:p>
          <a:pPr fontAlgn="ctr"/>
          <a:r>
            <a:rPr lang="en-GB" sz="1000">
              <a:solidFill>
                <a:schemeClr val="dk1"/>
              </a:solidFill>
              <a:effectLst/>
              <a:latin typeface="Arial" panose="020B0604020202020204" pitchFamily="34" charset="0"/>
              <a:ea typeface="+mn-ea"/>
              <a:cs typeface="Arial" panose="020B0604020202020204" pitchFamily="34" charset="0"/>
            </a:rPr>
            <a:t> </a:t>
          </a:r>
        </a:p>
        <a:p>
          <a:pPr fontAlgn="ctr"/>
          <a:r>
            <a:rPr lang="en-GB" sz="1000">
              <a:solidFill>
                <a:schemeClr val="dk1"/>
              </a:solidFill>
              <a:effectLst/>
              <a:latin typeface="Arial" panose="020B0604020202020204" pitchFamily="34" charset="0"/>
              <a:ea typeface="+mn-ea"/>
              <a:cs typeface="Arial" panose="020B0604020202020204" pitchFamily="34" charset="0"/>
            </a:rPr>
            <a:t>Advisory and Finance Committee (Guernsey)</a:t>
          </a:r>
        </a:p>
        <a:p>
          <a:pPr fontAlgn="ctr"/>
          <a:r>
            <a:rPr lang="en-GB" sz="1000">
              <a:solidFill>
                <a:schemeClr val="dk1"/>
              </a:solidFill>
              <a:effectLst/>
              <a:latin typeface="Arial" panose="020B0604020202020204" pitchFamily="34" charset="0"/>
              <a:ea typeface="+mn-ea"/>
              <a:cs typeface="Arial" panose="020B0604020202020204" pitchFamily="34" charset="0"/>
            </a:rPr>
            <a:t>Ceramics UK</a:t>
          </a:r>
        </a:p>
        <a:p>
          <a:pPr fontAlgn="ctr"/>
          <a:r>
            <a:rPr lang="en-GB" sz="1000">
              <a:solidFill>
                <a:schemeClr val="dk1"/>
              </a:solidFill>
              <a:effectLst/>
              <a:latin typeface="Arial" panose="020B0604020202020204" pitchFamily="34" charset="0"/>
              <a:ea typeface="+mn-ea"/>
              <a:cs typeface="Arial" panose="020B0604020202020204" pitchFamily="34" charset="0"/>
            </a:rPr>
            <a:t>Department for Energy Security and Net Zero: </a:t>
          </a:r>
          <a:r>
            <a:rPr lang="en-GB" sz="1000" i="1">
              <a:solidFill>
                <a:schemeClr val="dk1"/>
              </a:solidFill>
              <a:effectLst/>
              <a:latin typeface="Arial" panose="020B0604020202020204" pitchFamily="34" charset="0"/>
              <a:ea typeface="+mn-ea"/>
              <a:cs typeface="Arial" panose="020B0604020202020204" pitchFamily="34" charset="0"/>
            </a:rPr>
            <a:t>Digest of United Kingdom Energy Statistics (annual), Energy Trends, Monthly Statistics of Building Materials and Components, DESNZ website for construction information</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Department for the Economy (Northern Ireland), </a:t>
          </a:r>
          <a:r>
            <a:rPr lang="en-GB" sz="1000" i="1">
              <a:solidFill>
                <a:schemeClr val="dk1"/>
              </a:solidFill>
              <a:effectLst/>
              <a:latin typeface="Arial" panose="020B0604020202020204" pitchFamily="34" charset="0"/>
              <a:ea typeface="+mn-ea"/>
              <a:cs typeface="Arial" panose="020B0604020202020204" pitchFamily="34" charset="0"/>
            </a:rPr>
            <a:t>Annual Mineral Statement</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Department for Enterprise (Isle of Man)</a:t>
          </a:r>
        </a:p>
        <a:p>
          <a:pPr fontAlgn="ctr"/>
          <a:r>
            <a:rPr lang="en-GB" sz="1000">
              <a:solidFill>
                <a:schemeClr val="dk1"/>
              </a:solidFill>
              <a:effectLst/>
              <a:latin typeface="Arial" panose="020B0604020202020204" pitchFamily="34" charset="0"/>
              <a:ea typeface="+mn-ea"/>
              <a:cs typeface="Arial" panose="020B0604020202020204" pitchFamily="34" charset="0"/>
            </a:rPr>
            <a:t>The Coal Authority</a:t>
          </a:r>
        </a:p>
        <a:p>
          <a:pPr fontAlgn="ctr"/>
          <a:r>
            <a:rPr lang="en-GB" sz="1000">
              <a:solidFill>
                <a:schemeClr val="dk1"/>
              </a:solidFill>
              <a:effectLst/>
              <a:latin typeface="Arial" panose="020B0604020202020204" pitchFamily="34" charset="0"/>
              <a:ea typeface="+mn-ea"/>
              <a:cs typeface="Arial" panose="020B0604020202020204" pitchFamily="34" charset="0"/>
            </a:rPr>
            <a:t>The Crown Estate </a:t>
          </a:r>
        </a:p>
        <a:p>
          <a:pPr fontAlgn="ctr"/>
          <a:r>
            <a:rPr lang="en-GB" sz="1000">
              <a:solidFill>
                <a:schemeClr val="dk1"/>
              </a:solidFill>
              <a:effectLst/>
              <a:latin typeface="Arial" panose="020B0604020202020204" pitchFamily="34" charset="0"/>
              <a:ea typeface="+mn-ea"/>
              <a:cs typeface="Arial" panose="020B0604020202020204" pitchFamily="34" charset="0"/>
            </a:rPr>
            <a:t>HM Revenue and Customs, website: </a:t>
          </a:r>
          <a:r>
            <a:rPr lang="en-GB" sz="1000" i="1"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www.uktradeinfo.com/Pages/Home.aspx</a:t>
          </a:r>
          <a:r>
            <a:rPr lang="en-GB" sz="1000" i="1">
              <a:solidFill>
                <a:schemeClr val="dk1"/>
              </a:solidFill>
              <a:effectLst/>
              <a:latin typeface="Arial" panose="020B0604020202020204" pitchFamily="34" charset="0"/>
              <a:ea typeface="+mn-ea"/>
              <a:cs typeface="Arial" panose="020B0604020202020204" pitchFamily="34" charset="0"/>
            </a:rPr>
            <a:t>,</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Overseas Trade Statistics (monthly, quarterly and annual), Guide to the Classification for Overseas Trade Statistics</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Mineral Products Association (MPA)</a:t>
          </a:r>
        </a:p>
        <a:p>
          <a:pPr fontAlgn="ctr"/>
          <a:r>
            <a:rPr lang="en-GB" sz="1000">
              <a:solidFill>
                <a:schemeClr val="dk1"/>
              </a:solidFill>
              <a:effectLst/>
              <a:latin typeface="Arial" panose="020B0604020202020204" pitchFamily="34" charset="0"/>
              <a:ea typeface="+mn-ea"/>
              <a:cs typeface="Arial" panose="020B0604020202020204" pitchFamily="34" charset="0"/>
            </a:rPr>
            <a:t>Office for National Statistics, UK Statistics Authority, Website: </a:t>
          </a:r>
          <a:r>
            <a:rPr lang="en-GB" sz="100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http://www.statisticsauthority.gov.uk</a:t>
          </a:r>
          <a:r>
            <a:rPr lang="en-GB" sz="1000">
              <a:solidFill>
                <a:schemeClr val="dk1"/>
              </a:solidFill>
              <a:effectLst/>
              <a:latin typeface="Arial" panose="020B0604020202020204" pitchFamily="34" charset="0"/>
              <a:ea typeface="+mn-ea"/>
              <a:cs typeface="Arial" panose="020B0604020202020204" pitchFamily="34" charset="0"/>
            </a:rPr>
            <a:t> or </a:t>
          </a:r>
          <a:r>
            <a:rPr lang="en-GB" sz="100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www.statistics.gov.uk</a:t>
          </a:r>
          <a:r>
            <a:rPr lang="en-GB" sz="1000">
              <a:solidFill>
                <a:schemeClr val="dk1"/>
              </a:solidFill>
              <a:effectLst/>
              <a:latin typeface="Arial" panose="020B0604020202020204" pitchFamily="34" charset="0"/>
              <a:ea typeface="+mn-ea"/>
              <a:cs typeface="Arial" panose="020B0604020202020204" pitchFamily="34" charset="0"/>
            </a:rPr>
            <a:t>, </a:t>
          </a:r>
          <a:r>
            <a:rPr lang="en-GB" sz="1000" i="1">
              <a:solidFill>
                <a:schemeClr val="dk1"/>
              </a:solidFill>
              <a:effectLst/>
              <a:latin typeface="Arial" panose="020B0604020202020204" pitchFamily="34" charset="0"/>
              <a:ea typeface="+mn-ea"/>
              <a:cs typeface="Arial" panose="020B0604020202020204" pitchFamily="34" charset="0"/>
            </a:rPr>
            <a:t>Monthly Digest of Statistics, Mineral Extraction in Great Britain (annual), United Kingdom National Accounts, UK Manufacturers’ Sales by Product (PRODCOM)</a:t>
          </a:r>
          <a:endParaRPr lang="en-GB" sz="1000">
            <a:solidFill>
              <a:schemeClr val="dk1"/>
            </a:solidFill>
            <a:effectLst/>
            <a:latin typeface="Arial" panose="020B0604020202020204" pitchFamily="34" charset="0"/>
            <a:ea typeface="+mn-ea"/>
            <a:cs typeface="Arial" panose="020B0604020202020204" pitchFamily="34" charset="0"/>
          </a:endParaRPr>
        </a:p>
        <a:p>
          <a:pPr fontAlgn="ctr"/>
          <a:r>
            <a:rPr lang="en-GB" sz="1000">
              <a:solidFill>
                <a:schemeClr val="dk1"/>
              </a:solidFill>
              <a:effectLst/>
              <a:latin typeface="Arial" panose="020B0604020202020204" pitchFamily="34" charset="0"/>
              <a:ea typeface="+mn-ea"/>
              <a:cs typeface="Arial" panose="020B0604020202020204" pitchFamily="34" charset="0"/>
            </a:rPr>
            <a:t>UK Iron and Steel Statistics Bureau, </a:t>
          </a:r>
          <a:r>
            <a:rPr lang="en-GB" sz="1000" i="1">
              <a:solidFill>
                <a:schemeClr val="dk1"/>
              </a:solidFill>
              <a:effectLst/>
              <a:latin typeface="Arial" panose="020B0604020202020204" pitchFamily="34" charset="0"/>
              <a:ea typeface="+mn-ea"/>
              <a:cs typeface="Arial" panose="020B0604020202020204" pitchFamily="34" charset="0"/>
            </a:rPr>
            <a:t>Annual Statistics</a:t>
          </a:r>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World Bureau of Metal Statistics, </a:t>
          </a:r>
          <a:r>
            <a:rPr lang="en-GB" sz="1000" i="1">
              <a:solidFill>
                <a:schemeClr val="dk1"/>
              </a:solidFill>
              <a:effectLst/>
              <a:latin typeface="Arial" panose="020B0604020202020204" pitchFamily="34" charset="0"/>
              <a:ea typeface="+mn-ea"/>
              <a:cs typeface="Arial" panose="020B0604020202020204" pitchFamily="34" charset="0"/>
            </a:rPr>
            <a:t>World Metal Statistics (monthly)</a:t>
          </a:r>
          <a:endParaRPr lang="en-GB" sz="1000">
            <a:solidFill>
              <a:schemeClr val="dk1"/>
            </a:solidFill>
            <a:effectLst/>
            <a:latin typeface="Arial" panose="020B0604020202020204" pitchFamily="34" charset="0"/>
            <a:ea typeface="+mn-ea"/>
            <a:cs typeface="Arial" panose="020B0604020202020204" pitchFamily="34" charset="0"/>
          </a:endParaRPr>
        </a:p>
        <a:p>
          <a:endParaRPr lang="en-GB" sz="105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70E2C-3818-4CBF-A000-29CBAD5B1860}">
  <dimension ref="A1"/>
  <sheetViews>
    <sheetView tabSelected="1" view="pageBreakPreview" zoomScaleNormal="100" zoomScaleSheetLayoutView="100" workbookViewId="0"/>
  </sheetViews>
  <sheetFormatPr defaultColWidth="9.1796875" defaultRowHeight="14"/>
  <cols>
    <col min="1" max="8" width="9.1796875" style="13"/>
    <col min="9" max="9" width="9.1796875" style="13" customWidth="1"/>
    <col min="10" max="14" width="9.1796875" style="13"/>
    <col min="15" max="15" width="9.1796875" style="13" customWidth="1"/>
    <col min="16" max="16384" width="9.1796875" style="13"/>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DC52-8331-44E5-8571-ED5E960AA008}">
  <dimension ref="A1:K64"/>
  <sheetViews>
    <sheetView view="pageBreakPreview" zoomScaleNormal="100" zoomScaleSheetLayoutView="100" workbookViewId="0">
      <selection activeCell="A2" sqref="A2"/>
    </sheetView>
  </sheetViews>
  <sheetFormatPr defaultColWidth="9.1796875" defaultRowHeight="14"/>
  <cols>
    <col min="1" max="1" width="33.453125" style="13" customWidth="1"/>
    <col min="2" max="2" width="9.1796875" style="13" customWidth="1"/>
    <col min="3" max="11" width="9.453125" style="13" bestFit="1" customWidth="1"/>
    <col min="12" max="12" width="10.54296875" style="13" customWidth="1"/>
    <col min="13" max="13" width="10.453125" style="13" bestFit="1" customWidth="1"/>
    <col min="14" max="16384" width="9.1796875" style="13"/>
  </cols>
  <sheetData>
    <row r="1" spans="1:11">
      <c r="A1" s="48" t="s">
        <v>824</v>
      </c>
      <c r="K1" s="41" t="s">
        <v>834</v>
      </c>
    </row>
    <row r="2" spans="1:11">
      <c r="A2" s="42" t="s">
        <v>673</v>
      </c>
      <c r="B2" s="42" t="s">
        <v>1</v>
      </c>
      <c r="C2" s="42">
        <v>2018</v>
      </c>
      <c r="D2" s="42" t="s">
        <v>1</v>
      </c>
      <c r="E2" s="42">
        <v>2019</v>
      </c>
      <c r="F2" s="42" t="s">
        <v>1</v>
      </c>
      <c r="G2" s="42">
        <v>2020</v>
      </c>
      <c r="H2" s="42" t="s">
        <v>1</v>
      </c>
      <c r="I2" s="42">
        <v>2021</v>
      </c>
      <c r="J2" s="42" t="s">
        <v>1</v>
      </c>
      <c r="K2" s="42">
        <v>2022</v>
      </c>
    </row>
    <row r="3" spans="1:11">
      <c r="A3" s="13" t="s">
        <v>84</v>
      </c>
      <c r="B3" s="44"/>
      <c r="C3" s="43">
        <v>10</v>
      </c>
      <c r="D3" s="43"/>
      <c r="E3" s="43">
        <v>100</v>
      </c>
      <c r="F3" s="43"/>
      <c r="G3" s="43">
        <v>105.7</v>
      </c>
      <c r="H3" s="43"/>
      <c r="I3" s="43">
        <v>92.9</v>
      </c>
      <c r="J3" s="43"/>
      <c r="K3" s="43">
        <v>62.1</v>
      </c>
    </row>
    <row r="4" spans="1:11">
      <c r="A4" s="13" t="s">
        <v>85</v>
      </c>
      <c r="B4" s="44"/>
      <c r="C4" s="43">
        <v>1000</v>
      </c>
      <c r="D4" s="43"/>
      <c r="E4" s="43">
        <v>1100</v>
      </c>
      <c r="F4" s="43"/>
      <c r="G4" s="43">
        <v>1072.9000000000001</v>
      </c>
      <c r="H4" s="43"/>
      <c r="I4" s="43">
        <v>934.7</v>
      </c>
      <c r="J4" s="43"/>
      <c r="K4" s="43">
        <v>579.1</v>
      </c>
    </row>
    <row r="5" spans="1:11">
      <c r="A5" s="13" t="s">
        <v>86</v>
      </c>
      <c r="B5" s="44"/>
      <c r="C5" s="43"/>
      <c r="D5" s="43"/>
      <c r="E5" s="43"/>
      <c r="F5" s="43"/>
      <c r="G5" s="43"/>
      <c r="H5" s="43"/>
      <c r="I5" s="43"/>
      <c r="J5" s="43"/>
      <c r="K5" s="43"/>
    </row>
    <row r="6" spans="1:11">
      <c r="A6" s="13" t="s">
        <v>87</v>
      </c>
      <c r="B6" s="44"/>
      <c r="C6" s="43"/>
      <c r="D6" s="43"/>
      <c r="E6" s="43"/>
      <c r="F6" s="43"/>
      <c r="G6" s="43"/>
      <c r="H6" s="43"/>
      <c r="I6" s="43"/>
      <c r="J6" s="43"/>
      <c r="K6" s="43"/>
    </row>
    <row r="7" spans="1:11">
      <c r="A7" s="13" t="s">
        <v>88</v>
      </c>
      <c r="B7" s="44"/>
      <c r="C7" s="43"/>
      <c r="D7" s="43"/>
      <c r="E7" s="43"/>
      <c r="F7" s="43"/>
      <c r="G7" s="43"/>
      <c r="H7" s="43"/>
      <c r="I7" s="43"/>
      <c r="J7" s="43"/>
      <c r="K7" s="43"/>
    </row>
    <row r="8" spans="1:11">
      <c r="A8" s="13" t="s">
        <v>823</v>
      </c>
      <c r="B8" s="44"/>
      <c r="C8" s="43"/>
      <c r="D8" s="43"/>
      <c r="E8" s="43"/>
      <c r="F8" s="43"/>
      <c r="G8" s="43"/>
      <c r="H8" s="43"/>
      <c r="I8" s="43"/>
      <c r="J8" s="43"/>
      <c r="K8" s="43"/>
    </row>
    <row r="9" spans="1:11">
      <c r="A9" s="13" t="s">
        <v>820</v>
      </c>
      <c r="B9" s="44"/>
      <c r="C9" s="43"/>
      <c r="D9" s="43"/>
      <c r="E9" s="43"/>
      <c r="F9" s="43"/>
      <c r="G9" s="43"/>
      <c r="H9" s="43"/>
      <c r="I9" s="43"/>
      <c r="J9" s="43"/>
      <c r="K9" s="43"/>
    </row>
    <row r="10" spans="1:11">
      <c r="A10" s="13" t="s">
        <v>821</v>
      </c>
      <c r="B10" s="44"/>
      <c r="C10" s="43"/>
      <c r="D10" s="43"/>
      <c r="E10" s="43"/>
      <c r="F10" s="43"/>
      <c r="G10" s="43"/>
      <c r="H10" s="43"/>
      <c r="I10" s="43"/>
      <c r="J10" s="43"/>
      <c r="K10" s="43"/>
    </row>
    <row r="11" spans="1:11">
      <c r="A11" s="13" t="s">
        <v>89</v>
      </c>
      <c r="B11" s="44"/>
      <c r="C11" s="43"/>
      <c r="D11" s="43"/>
      <c r="E11" s="43"/>
      <c r="F11" s="43"/>
      <c r="G11" s="43"/>
      <c r="H11" s="43"/>
      <c r="I11" s="43"/>
      <c r="J11" s="43"/>
      <c r="K11" s="43"/>
    </row>
    <row r="12" spans="1:11">
      <c r="A12" s="13" t="s">
        <v>90</v>
      </c>
      <c r="B12" s="44"/>
      <c r="C12" s="43"/>
      <c r="D12" s="43"/>
      <c r="E12" s="43"/>
      <c r="F12" s="43"/>
      <c r="G12" s="43"/>
      <c r="H12" s="43"/>
      <c r="I12" s="43"/>
      <c r="J12" s="43"/>
      <c r="K12" s="43"/>
    </row>
    <row r="13" spans="1:11">
      <c r="A13" s="13" t="s">
        <v>91</v>
      </c>
      <c r="B13" s="44"/>
      <c r="C13" s="43"/>
      <c r="D13" s="43"/>
      <c r="E13" s="43"/>
      <c r="F13" s="43"/>
      <c r="G13" s="43"/>
      <c r="H13" s="43"/>
      <c r="I13" s="43"/>
      <c r="J13" s="43"/>
      <c r="K13" s="43"/>
    </row>
    <row r="14" spans="1:11">
      <c r="A14" s="13" t="s">
        <v>92</v>
      </c>
      <c r="B14" s="44"/>
      <c r="C14" s="43"/>
      <c r="D14" s="43"/>
      <c r="E14" s="43"/>
      <c r="F14" s="43"/>
      <c r="G14" s="43"/>
      <c r="H14" s="43"/>
      <c r="I14" s="43"/>
      <c r="J14" s="43"/>
      <c r="K14" s="43"/>
    </row>
    <row r="15" spans="1:11">
      <c r="B15" s="44"/>
      <c r="C15" s="43"/>
      <c r="D15" s="43"/>
      <c r="E15" s="43"/>
      <c r="F15" s="43"/>
      <c r="G15" s="43"/>
      <c r="H15" s="43"/>
      <c r="I15" s="43"/>
      <c r="J15" s="43"/>
      <c r="K15" s="43"/>
    </row>
    <row r="16" spans="1:11">
      <c r="A16" s="13" t="s">
        <v>676</v>
      </c>
      <c r="B16" s="44"/>
      <c r="C16" s="43"/>
      <c r="D16" s="43"/>
      <c r="E16" s="43"/>
      <c r="F16" s="43"/>
      <c r="G16" s="43"/>
      <c r="H16" s="43"/>
      <c r="I16" s="43"/>
      <c r="J16" s="43"/>
      <c r="K16" s="43"/>
    </row>
    <row r="17" spans="1:11">
      <c r="B17" s="44"/>
      <c r="C17" s="43"/>
      <c r="D17" s="43"/>
      <c r="E17" s="43"/>
      <c r="F17" s="43"/>
      <c r="G17" s="43"/>
      <c r="H17" s="43"/>
      <c r="I17" s="43"/>
      <c r="J17" s="43"/>
      <c r="K17" s="43"/>
    </row>
    <row r="18" spans="1:11">
      <c r="A18" s="13" t="s">
        <v>54</v>
      </c>
      <c r="B18" s="44"/>
      <c r="C18" s="43"/>
      <c r="D18" s="43"/>
      <c r="E18" s="43"/>
      <c r="F18" s="43"/>
      <c r="G18" s="43"/>
      <c r="H18" s="43"/>
      <c r="I18" s="43"/>
      <c r="J18" s="43"/>
      <c r="K18" s="43"/>
    </row>
    <row r="19" spans="1:11">
      <c r="A19" s="13" t="s">
        <v>710</v>
      </c>
      <c r="B19" s="44"/>
      <c r="C19" s="43"/>
      <c r="D19" s="43"/>
      <c r="E19" s="43"/>
      <c r="F19" s="43"/>
      <c r="G19" s="43"/>
      <c r="H19" s="43"/>
      <c r="I19" s="43"/>
      <c r="J19" s="43"/>
      <c r="K19" s="43"/>
    </row>
    <row r="20" spans="1:11">
      <c r="A20" s="13" t="s">
        <v>135</v>
      </c>
      <c r="B20" s="44"/>
      <c r="C20" s="43"/>
      <c r="D20" s="43"/>
      <c r="E20" s="43"/>
      <c r="F20" s="43"/>
      <c r="G20" s="43"/>
      <c r="H20" s="43"/>
      <c r="I20" s="43"/>
      <c r="J20" s="43"/>
      <c r="K20" s="43"/>
    </row>
    <row r="21" spans="1:11">
      <c r="A21" s="13" t="s">
        <v>136</v>
      </c>
      <c r="B21" s="44"/>
      <c r="C21" s="43"/>
      <c r="D21" s="43"/>
      <c r="E21" s="43"/>
      <c r="F21" s="43"/>
      <c r="G21" s="43"/>
      <c r="H21" s="43"/>
      <c r="I21" s="43"/>
      <c r="J21" s="43"/>
      <c r="K21" s="43"/>
    </row>
    <row r="22" spans="1:11">
      <c r="A22" s="13" t="s">
        <v>49</v>
      </c>
      <c r="B22" s="44"/>
      <c r="C22" s="43"/>
      <c r="D22" s="43"/>
      <c r="E22" s="43"/>
      <c r="F22" s="43"/>
      <c r="G22" s="43"/>
      <c r="H22" s="43"/>
      <c r="I22" s="43"/>
      <c r="J22" s="43"/>
      <c r="K22" s="43"/>
    </row>
    <row r="23" spans="1:11">
      <c r="A23" s="13" t="s">
        <v>50</v>
      </c>
      <c r="B23" s="44"/>
      <c r="C23" s="43"/>
      <c r="D23" s="43"/>
      <c r="E23" s="43"/>
      <c r="F23" s="43"/>
      <c r="G23" s="43"/>
      <c r="H23" s="43"/>
      <c r="I23" s="43"/>
      <c r="J23" s="43"/>
      <c r="K23" s="43"/>
    </row>
    <row r="24" spans="1:11">
      <c r="A24" s="13" t="s">
        <v>52</v>
      </c>
      <c r="B24" s="44" t="s">
        <v>145</v>
      </c>
      <c r="C24" s="43">
        <v>12711</v>
      </c>
      <c r="D24" s="43" t="s">
        <v>145</v>
      </c>
      <c r="E24" s="43">
        <v>12832</v>
      </c>
      <c r="F24" s="43" t="s">
        <v>145</v>
      </c>
      <c r="G24" s="43">
        <v>12448</v>
      </c>
      <c r="H24" s="43" t="s">
        <v>145</v>
      </c>
      <c r="I24" s="43">
        <v>14072</v>
      </c>
      <c r="J24" s="43" t="s">
        <v>145</v>
      </c>
      <c r="K24" s="43">
        <v>12721</v>
      </c>
    </row>
    <row r="25" spans="1:11">
      <c r="A25" s="13" t="s">
        <v>48</v>
      </c>
      <c r="B25" s="44"/>
      <c r="C25" s="43">
        <v>1517</v>
      </c>
      <c r="D25" s="43"/>
      <c r="E25" s="43">
        <v>1810</v>
      </c>
      <c r="F25" s="43"/>
      <c r="G25" s="43">
        <v>1830</v>
      </c>
      <c r="H25" s="43"/>
      <c r="I25" s="43">
        <v>1899</v>
      </c>
      <c r="J25" s="43"/>
      <c r="K25" s="43">
        <v>1933</v>
      </c>
    </row>
    <row r="26" spans="1:11">
      <c r="A26" s="13" t="s">
        <v>103</v>
      </c>
      <c r="B26" s="44"/>
      <c r="C26" s="43"/>
      <c r="D26" s="43"/>
      <c r="E26" s="43"/>
      <c r="F26" s="43"/>
      <c r="G26" s="43"/>
      <c r="H26" s="43"/>
      <c r="I26" s="43"/>
      <c r="J26" s="43"/>
      <c r="K26" s="43"/>
    </row>
    <row r="27" spans="1:11">
      <c r="B27" s="44"/>
      <c r="C27" s="43"/>
      <c r="D27" s="43"/>
      <c r="E27" s="43"/>
      <c r="F27" s="43"/>
      <c r="G27" s="43"/>
      <c r="H27" s="43"/>
      <c r="I27" s="43"/>
      <c r="J27" s="43"/>
      <c r="K27" s="43"/>
    </row>
    <row r="28" spans="1:11">
      <c r="A28" s="13" t="s">
        <v>111</v>
      </c>
      <c r="B28" s="44"/>
      <c r="C28" s="44"/>
      <c r="D28" s="44"/>
      <c r="E28" s="44"/>
      <c r="F28" s="44"/>
      <c r="G28" s="44"/>
      <c r="H28" s="44"/>
      <c r="I28" s="44"/>
      <c r="J28" s="44"/>
      <c r="K28" s="44"/>
    </row>
    <row r="29" spans="1:11">
      <c r="A29" s="13" t="s">
        <v>58</v>
      </c>
      <c r="B29" s="44"/>
      <c r="C29" s="44"/>
      <c r="D29" s="44"/>
      <c r="E29" s="44"/>
      <c r="F29" s="44"/>
      <c r="G29" s="44"/>
      <c r="H29" s="44"/>
      <c r="I29" s="44"/>
      <c r="J29" s="44"/>
      <c r="K29" s="44"/>
    </row>
    <row r="30" spans="1:11">
      <c r="A30" s="35"/>
      <c r="B30" s="35"/>
      <c r="C30" s="35"/>
      <c r="D30" s="35"/>
      <c r="E30" s="35"/>
      <c r="F30" s="35"/>
      <c r="G30" s="35"/>
      <c r="H30" s="35"/>
      <c r="I30" s="35"/>
      <c r="J30" s="35"/>
      <c r="K30" s="35"/>
    </row>
    <row r="32" spans="1:11">
      <c r="A32" s="13" t="s">
        <v>14</v>
      </c>
      <c r="B32" s="13" t="s">
        <v>15</v>
      </c>
    </row>
    <row r="33" spans="1:10">
      <c r="A33" s="13" t="s">
        <v>118</v>
      </c>
      <c r="B33" s="13" t="s">
        <v>143</v>
      </c>
    </row>
    <row r="34" spans="1:10" ht="45.75" customHeight="1">
      <c r="A34" s="13" t="s">
        <v>142</v>
      </c>
      <c r="B34" s="103" t="s">
        <v>146</v>
      </c>
      <c r="C34" s="103"/>
      <c r="D34" s="103"/>
      <c r="E34" s="103"/>
      <c r="F34" s="103"/>
      <c r="G34" s="103"/>
      <c r="H34" s="103"/>
      <c r="I34" s="103"/>
      <c r="J34" s="103"/>
    </row>
    <row r="35" spans="1:10">
      <c r="A35" s="13" t="s">
        <v>122</v>
      </c>
      <c r="B35" s="13" t="s">
        <v>782</v>
      </c>
    </row>
    <row r="37" spans="1:10" ht="31.5" customHeight="1">
      <c r="A37" s="103" t="s">
        <v>147</v>
      </c>
      <c r="B37" s="103"/>
      <c r="C37" s="103"/>
      <c r="D37" s="103"/>
      <c r="E37" s="103"/>
      <c r="F37" s="103"/>
      <c r="G37" s="103"/>
      <c r="H37" s="103"/>
      <c r="I37" s="103"/>
      <c r="J37" s="103"/>
    </row>
    <row r="40" spans="1:10">
      <c r="A40" s="46" t="str">
        <f>HYPERLINK("[UKMY 2023 PrintableV1.1 12_09_24.xlsx]Contents!A1","Return to contents page")</f>
        <v>Return to contents page</v>
      </c>
    </row>
    <row r="64" spans="5:5">
      <c r="E64" s="47"/>
    </row>
  </sheetData>
  <mergeCells count="2">
    <mergeCell ref="B34:J34"/>
    <mergeCell ref="A37:J37"/>
  </mergeCells>
  <pageMargins left="0.7" right="0.7" top="0.75" bottom="0.75" header="0.3" footer="0.3"/>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8ADA1-F5F6-4596-8D8E-919F599F3EF0}">
  <dimension ref="A1:M64"/>
  <sheetViews>
    <sheetView view="pageBreakPreview" zoomScaleNormal="100" zoomScaleSheetLayoutView="100" workbookViewId="0">
      <selection activeCell="B26" sqref="B26"/>
    </sheetView>
  </sheetViews>
  <sheetFormatPr defaultColWidth="9.1796875" defaultRowHeight="14"/>
  <cols>
    <col min="1" max="1" width="12.7265625" style="73" customWidth="1"/>
    <col min="2" max="2" width="40" style="79" customWidth="1"/>
    <col min="3" max="3" width="23.1796875" style="73" bestFit="1" customWidth="1"/>
    <col min="4" max="4" width="3.54296875" style="73" bestFit="1" customWidth="1"/>
    <col min="5" max="5" width="7.54296875" style="73" bestFit="1" customWidth="1"/>
    <col min="6" max="6" width="3.453125" style="73" bestFit="1" customWidth="1"/>
    <col min="7" max="7" width="7.54296875" style="73" bestFit="1" customWidth="1"/>
    <col min="8" max="8" width="3.453125" style="73" bestFit="1" customWidth="1"/>
    <col min="9" max="9" width="7.54296875" style="73" bestFit="1" customWidth="1"/>
    <col min="10" max="10" width="3.453125" style="73" bestFit="1" customWidth="1"/>
    <col min="11" max="11" width="7.54296875" style="73" bestFit="1" customWidth="1"/>
    <col min="12" max="12" width="3.453125" style="73" bestFit="1" customWidth="1"/>
    <col min="13" max="13" width="7.54296875" style="73" bestFit="1" customWidth="1"/>
    <col min="14" max="16384" width="9.1796875" style="73"/>
  </cols>
  <sheetData>
    <row r="1" spans="1:13">
      <c r="A1" s="100" t="s">
        <v>605</v>
      </c>
    </row>
    <row r="2" spans="1:13">
      <c r="A2" s="83" t="s">
        <v>670</v>
      </c>
      <c r="B2" s="84" t="s">
        <v>0</v>
      </c>
      <c r="C2" s="83" t="s">
        <v>669</v>
      </c>
      <c r="D2" s="83" t="s">
        <v>1</v>
      </c>
      <c r="E2" s="83">
        <v>2018</v>
      </c>
      <c r="F2" s="83" t="s">
        <v>1</v>
      </c>
      <c r="G2" s="83">
        <v>2019</v>
      </c>
      <c r="H2" s="83" t="s">
        <v>1</v>
      </c>
      <c r="I2" s="83">
        <v>2020</v>
      </c>
      <c r="J2" s="83" t="s">
        <v>1</v>
      </c>
      <c r="K2" s="83">
        <v>2021</v>
      </c>
      <c r="L2" s="83" t="s">
        <v>1</v>
      </c>
      <c r="M2" s="83">
        <v>2022</v>
      </c>
    </row>
    <row r="3" spans="1:13">
      <c r="A3" s="86" t="s">
        <v>609</v>
      </c>
      <c r="B3" s="85" t="s">
        <v>733</v>
      </c>
      <c r="C3" s="86" t="s">
        <v>829</v>
      </c>
      <c r="D3" s="86" t="s">
        <v>209</v>
      </c>
      <c r="E3" s="86"/>
      <c r="F3" s="86"/>
      <c r="G3" s="86"/>
      <c r="H3" s="86"/>
      <c r="I3" s="86"/>
      <c r="J3" s="86"/>
      <c r="K3" s="86"/>
      <c r="L3" s="86"/>
      <c r="M3" s="86"/>
    </row>
    <row r="4" spans="1:13">
      <c r="A4" s="86" t="s">
        <v>609</v>
      </c>
      <c r="B4" s="85" t="s">
        <v>733</v>
      </c>
      <c r="C4" s="86" t="s">
        <v>610</v>
      </c>
      <c r="D4" s="86" t="s">
        <v>209</v>
      </c>
      <c r="E4" s="86"/>
      <c r="F4" s="86"/>
      <c r="G4" s="86"/>
      <c r="H4" s="86"/>
      <c r="I4" s="86"/>
      <c r="J4" s="86"/>
      <c r="K4" s="86"/>
      <c r="L4" s="86"/>
      <c r="M4" s="86"/>
    </row>
    <row r="5" spans="1:13">
      <c r="A5" s="86" t="s">
        <v>609</v>
      </c>
      <c r="B5" s="85" t="s">
        <v>611</v>
      </c>
      <c r="C5" s="86" t="s">
        <v>610</v>
      </c>
      <c r="D5" s="86" t="s">
        <v>205</v>
      </c>
      <c r="E5" s="87">
        <v>129000</v>
      </c>
      <c r="F5" s="86" t="s">
        <v>205</v>
      </c>
      <c r="G5" s="87">
        <v>130000</v>
      </c>
      <c r="H5" s="86" t="s">
        <v>205</v>
      </c>
      <c r="I5" s="87">
        <v>106000</v>
      </c>
      <c r="J5" s="86" t="s">
        <v>205</v>
      </c>
      <c r="K5" s="87">
        <v>107000</v>
      </c>
      <c r="L5" s="86" t="s">
        <v>205</v>
      </c>
      <c r="M5" s="87">
        <v>121000</v>
      </c>
    </row>
    <row r="6" spans="1:13">
      <c r="A6" s="86" t="s">
        <v>609</v>
      </c>
      <c r="B6" s="85" t="s">
        <v>734</v>
      </c>
      <c r="C6" s="86" t="s">
        <v>610</v>
      </c>
      <c r="D6" s="86" t="s">
        <v>212</v>
      </c>
      <c r="E6" s="86"/>
      <c r="F6" s="86"/>
      <c r="G6" s="86"/>
      <c r="H6" s="86"/>
      <c r="I6" s="86"/>
      <c r="J6" s="86"/>
      <c r="K6" s="86"/>
      <c r="L6" s="86"/>
      <c r="M6" s="86"/>
    </row>
    <row r="7" spans="1:13">
      <c r="A7" s="86"/>
      <c r="B7" s="85"/>
      <c r="C7" s="86"/>
      <c r="D7" s="86"/>
      <c r="E7" s="86"/>
      <c r="F7" s="86"/>
      <c r="G7" s="86"/>
      <c r="H7" s="86"/>
      <c r="I7" s="86"/>
      <c r="J7" s="86"/>
      <c r="K7" s="86"/>
      <c r="L7" s="86"/>
      <c r="M7" s="86"/>
    </row>
    <row r="8" spans="1:13">
      <c r="A8" s="86" t="s">
        <v>19</v>
      </c>
      <c r="B8" s="85" t="s">
        <v>606</v>
      </c>
      <c r="C8" s="86" t="s">
        <v>829</v>
      </c>
      <c r="D8" s="86"/>
      <c r="E8" s="86">
        <v>276</v>
      </c>
      <c r="F8" s="86"/>
      <c r="G8" s="86">
        <v>754</v>
      </c>
      <c r="H8" s="86"/>
      <c r="I8" s="87">
        <v>1304</v>
      </c>
      <c r="J8" s="86"/>
      <c r="K8" s="86">
        <v>91</v>
      </c>
      <c r="L8" s="86"/>
      <c r="M8" s="86">
        <v>77</v>
      </c>
    </row>
    <row r="9" spans="1:13">
      <c r="A9" s="86" t="s">
        <v>19</v>
      </c>
      <c r="B9" s="85" t="s">
        <v>606</v>
      </c>
      <c r="C9" s="86" t="s">
        <v>201</v>
      </c>
      <c r="D9" s="86"/>
      <c r="E9" s="86">
        <v>175</v>
      </c>
      <c r="F9" s="86"/>
      <c r="G9" s="87">
        <v>14098</v>
      </c>
      <c r="H9" s="86"/>
      <c r="I9" s="87">
        <v>18152</v>
      </c>
      <c r="J9" s="86"/>
      <c r="K9" s="86">
        <v>81</v>
      </c>
      <c r="L9" s="86"/>
      <c r="M9" s="86">
        <v>112</v>
      </c>
    </row>
    <row r="10" spans="1:13">
      <c r="A10" s="86" t="s">
        <v>19</v>
      </c>
      <c r="B10" s="85" t="s">
        <v>607</v>
      </c>
      <c r="C10" s="86" t="s">
        <v>829</v>
      </c>
      <c r="D10" s="86"/>
      <c r="E10" s="87">
        <v>4250</v>
      </c>
      <c r="F10" s="86"/>
      <c r="G10" s="87">
        <v>2422</v>
      </c>
      <c r="H10" s="86"/>
      <c r="I10" s="87">
        <v>2586</v>
      </c>
      <c r="J10" s="86"/>
      <c r="K10" s="87">
        <v>1161</v>
      </c>
      <c r="L10" s="86"/>
      <c r="M10" s="87">
        <v>1885</v>
      </c>
    </row>
    <row r="11" spans="1:13">
      <c r="A11" s="86" t="s">
        <v>19</v>
      </c>
      <c r="B11" s="85" t="s">
        <v>607</v>
      </c>
      <c r="C11" s="86" t="s">
        <v>201</v>
      </c>
      <c r="D11" s="86"/>
      <c r="E11" s="87">
        <v>7067</v>
      </c>
      <c r="F11" s="86"/>
      <c r="G11" s="87">
        <v>4746</v>
      </c>
      <c r="H11" s="86"/>
      <c r="I11" s="87">
        <v>4483</v>
      </c>
      <c r="J11" s="86"/>
      <c r="K11" s="87">
        <v>3234</v>
      </c>
      <c r="L11" s="86"/>
      <c r="M11" s="87">
        <v>3138</v>
      </c>
    </row>
    <row r="12" spans="1:13" ht="25.5">
      <c r="A12" s="86" t="s">
        <v>19</v>
      </c>
      <c r="B12" s="85" t="s">
        <v>608</v>
      </c>
      <c r="C12" s="86" t="s">
        <v>829</v>
      </c>
      <c r="D12" s="86"/>
      <c r="E12" s="86">
        <v>304</v>
      </c>
      <c r="F12" s="86"/>
      <c r="G12" s="86">
        <v>305</v>
      </c>
      <c r="H12" s="86"/>
      <c r="I12" s="86">
        <v>261</v>
      </c>
      <c r="J12" s="86"/>
      <c r="K12" s="86">
        <v>259</v>
      </c>
      <c r="L12" s="86"/>
      <c r="M12" s="86">
        <v>162</v>
      </c>
    </row>
    <row r="13" spans="1:13" ht="25.5">
      <c r="A13" s="86" t="s">
        <v>19</v>
      </c>
      <c r="B13" s="85" t="s">
        <v>608</v>
      </c>
      <c r="C13" s="86" t="s">
        <v>201</v>
      </c>
      <c r="D13" s="86"/>
      <c r="E13" s="86">
        <v>267</v>
      </c>
      <c r="F13" s="86"/>
      <c r="G13" s="86">
        <v>248</v>
      </c>
      <c r="H13" s="86"/>
      <c r="I13" s="86">
        <v>185</v>
      </c>
      <c r="J13" s="86"/>
      <c r="K13" s="86">
        <v>178</v>
      </c>
      <c r="L13" s="86"/>
      <c r="M13" s="87">
        <v>1096</v>
      </c>
    </row>
    <row r="14" spans="1:13">
      <c r="A14" s="86"/>
      <c r="B14" s="85"/>
      <c r="C14" s="86"/>
      <c r="D14" s="86"/>
      <c r="E14" s="86"/>
      <c r="F14" s="86"/>
      <c r="G14" s="86"/>
      <c r="H14" s="86"/>
      <c r="I14" s="86"/>
      <c r="J14" s="86"/>
      <c r="K14" s="86"/>
      <c r="L14" s="86"/>
      <c r="M14" s="87"/>
    </row>
    <row r="15" spans="1:13">
      <c r="A15" s="86" t="s">
        <v>20</v>
      </c>
      <c r="B15" s="85" t="s">
        <v>606</v>
      </c>
      <c r="C15" s="86" t="s">
        <v>829</v>
      </c>
      <c r="D15" s="86"/>
      <c r="E15" s="86">
        <v>609</v>
      </c>
      <c r="F15" s="86"/>
      <c r="G15" s="86">
        <v>124</v>
      </c>
      <c r="H15" s="86"/>
      <c r="I15" s="86">
        <v>103</v>
      </c>
      <c r="J15" s="86"/>
      <c r="K15" s="87">
        <v>4839</v>
      </c>
      <c r="L15" s="86"/>
      <c r="M15" s="86">
        <v>810</v>
      </c>
    </row>
    <row r="16" spans="1:13">
      <c r="A16" s="86" t="s">
        <v>20</v>
      </c>
      <c r="B16" s="85" t="s">
        <v>606</v>
      </c>
      <c r="C16" s="86" t="s">
        <v>201</v>
      </c>
      <c r="D16" s="86"/>
      <c r="E16" s="87">
        <v>14895</v>
      </c>
      <c r="F16" s="86"/>
      <c r="G16" s="87">
        <v>1526</v>
      </c>
      <c r="H16" s="86"/>
      <c r="I16" s="86">
        <v>990</v>
      </c>
      <c r="J16" s="86"/>
      <c r="K16" s="87">
        <v>34712</v>
      </c>
      <c r="L16" s="86"/>
      <c r="M16" s="87">
        <v>4105</v>
      </c>
    </row>
    <row r="17" spans="1:13">
      <c r="A17" s="86" t="s">
        <v>20</v>
      </c>
      <c r="B17" s="85" t="s">
        <v>607</v>
      </c>
      <c r="C17" s="86" t="s">
        <v>829</v>
      </c>
      <c r="D17" s="86"/>
      <c r="E17" s="87">
        <v>1753</v>
      </c>
      <c r="F17" s="86"/>
      <c r="G17" s="87">
        <v>2648</v>
      </c>
      <c r="H17" s="86"/>
      <c r="I17" s="87">
        <v>1122</v>
      </c>
      <c r="J17" s="86"/>
      <c r="K17" s="87">
        <v>2566</v>
      </c>
      <c r="L17" s="86"/>
      <c r="M17" s="87">
        <v>20294</v>
      </c>
    </row>
    <row r="18" spans="1:13">
      <c r="A18" s="86" t="s">
        <v>20</v>
      </c>
      <c r="B18" s="85" t="s">
        <v>607</v>
      </c>
      <c r="C18" s="86" t="s">
        <v>201</v>
      </c>
      <c r="D18" s="86"/>
      <c r="E18" s="87">
        <v>11136</v>
      </c>
      <c r="F18" s="86"/>
      <c r="G18" s="87">
        <v>23664</v>
      </c>
      <c r="H18" s="86"/>
      <c r="I18" s="87">
        <v>5764</v>
      </c>
      <c r="J18" s="86"/>
      <c r="K18" s="87">
        <v>13954</v>
      </c>
      <c r="L18" s="86"/>
      <c r="M18" s="87">
        <v>74642</v>
      </c>
    </row>
    <row r="19" spans="1:13" ht="25.5">
      <c r="A19" s="86" t="s">
        <v>20</v>
      </c>
      <c r="B19" s="85" t="s">
        <v>608</v>
      </c>
      <c r="C19" s="86" t="s">
        <v>829</v>
      </c>
      <c r="D19" s="86"/>
      <c r="E19" s="86">
        <v>73</v>
      </c>
      <c r="F19" s="86"/>
      <c r="G19" s="86">
        <v>112</v>
      </c>
      <c r="H19" s="86"/>
      <c r="I19" s="86">
        <v>292</v>
      </c>
      <c r="J19" s="86"/>
      <c r="K19" s="86">
        <v>136</v>
      </c>
      <c r="L19" s="86"/>
      <c r="M19" s="86">
        <v>201</v>
      </c>
    </row>
    <row r="20" spans="1:13" ht="25.5">
      <c r="A20" s="86" t="s">
        <v>20</v>
      </c>
      <c r="B20" s="85" t="s">
        <v>608</v>
      </c>
      <c r="C20" s="86" t="s">
        <v>201</v>
      </c>
      <c r="D20" s="86"/>
      <c r="E20" s="86">
        <v>57</v>
      </c>
      <c r="F20" s="86"/>
      <c r="G20" s="86">
        <v>55</v>
      </c>
      <c r="H20" s="86"/>
      <c r="I20" s="87">
        <v>1478</v>
      </c>
      <c r="J20" s="86"/>
      <c r="K20" s="86">
        <v>73</v>
      </c>
      <c r="L20" s="86"/>
      <c r="M20" s="86">
        <v>84</v>
      </c>
    </row>
    <row r="21" spans="1:13">
      <c r="A21" s="88"/>
      <c r="B21" s="89"/>
      <c r="C21" s="88"/>
      <c r="D21" s="88"/>
      <c r="E21" s="88"/>
      <c r="F21" s="88"/>
      <c r="G21" s="88"/>
      <c r="H21" s="88"/>
      <c r="I21" s="88"/>
      <c r="J21" s="88"/>
      <c r="K21" s="88"/>
      <c r="L21" s="88"/>
      <c r="M21" s="88"/>
    </row>
    <row r="22" spans="1:13">
      <c r="A22" s="86"/>
      <c r="B22" s="85"/>
      <c r="C22" s="86"/>
      <c r="D22" s="86"/>
      <c r="E22" s="86"/>
      <c r="F22" s="86"/>
      <c r="G22" s="86"/>
      <c r="H22" s="86"/>
      <c r="I22" s="86"/>
      <c r="J22" s="86"/>
      <c r="K22" s="86"/>
      <c r="L22" s="86"/>
      <c r="M22" s="86"/>
    </row>
    <row r="23" spans="1:13">
      <c r="A23" s="86" t="s">
        <v>14</v>
      </c>
      <c r="B23" s="85" t="s">
        <v>15</v>
      </c>
      <c r="C23" s="86"/>
      <c r="D23" s="86"/>
      <c r="E23" s="86"/>
      <c r="F23" s="86"/>
      <c r="G23" s="86"/>
      <c r="H23" s="86"/>
      <c r="I23" s="86"/>
      <c r="J23" s="86"/>
      <c r="K23" s="86"/>
      <c r="L23" s="86"/>
      <c r="M23" s="86"/>
    </row>
    <row r="24" spans="1:13">
      <c r="A24" s="86" t="s">
        <v>214</v>
      </c>
      <c r="B24" s="85" t="s">
        <v>612</v>
      </c>
      <c r="C24" s="86"/>
      <c r="D24" s="86"/>
      <c r="E24" s="86"/>
      <c r="F24" s="86"/>
      <c r="G24" s="86"/>
      <c r="H24" s="86"/>
      <c r="I24" s="86"/>
      <c r="J24" s="86"/>
      <c r="K24" s="86"/>
      <c r="L24" s="86"/>
      <c r="M24" s="86"/>
    </row>
    <row r="25" spans="1:13">
      <c r="A25" s="86" t="s">
        <v>215</v>
      </c>
      <c r="B25" s="85" t="s">
        <v>613</v>
      </c>
      <c r="C25" s="86"/>
      <c r="D25" s="86"/>
      <c r="E25" s="86"/>
      <c r="F25" s="86"/>
      <c r="G25" s="86"/>
      <c r="H25" s="86"/>
      <c r="I25" s="86"/>
      <c r="J25" s="86"/>
      <c r="K25" s="86"/>
      <c r="L25" s="86"/>
      <c r="M25" s="86"/>
    </row>
    <row r="26" spans="1:13">
      <c r="A26" s="86" t="s">
        <v>216</v>
      </c>
      <c r="B26" s="85" t="s">
        <v>614</v>
      </c>
      <c r="C26" s="86"/>
      <c r="D26" s="86"/>
      <c r="E26" s="86"/>
      <c r="F26" s="86"/>
      <c r="G26" s="86"/>
      <c r="H26" s="86"/>
      <c r="I26" s="86"/>
      <c r="J26" s="86"/>
      <c r="K26" s="86"/>
      <c r="L26" s="86"/>
      <c r="M26" s="86"/>
    </row>
    <row r="27" spans="1:13" ht="7.5" customHeight="1">
      <c r="A27" s="86"/>
      <c r="B27" s="85"/>
      <c r="C27" s="86"/>
      <c r="D27" s="86"/>
      <c r="E27" s="86"/>
      <c r="F27" s="86"/>
      <c r="G27" s="86"/>
      <c r="H27" s="86"/>
      <c r="I27" s="86"/>
      <c r="J27" s="86"/>
      <c r="K27" s="86"/>
      <c r="L27" s="86"/>
      <c r="M27" s="86"/>
    </row>
    <row r="28" spans="1:13" ht="7.5" customHeight="1">
      <c r="A28" s="86"/>
      <c r="B28" s="85"/>
      <c r="C28" s="86"/>
      <c r="D28" s="86"/>
      <c r="E28" s="86"/>
      <c r="F28" s="86"/>
      <c r="G28" s="86"/>
      <c r="H28" s="86"/>
      <c r="I28" s="86"/>
      <c r="J28" s="86"/>
      <c r="K28" s="86"/>
      <c r="L28" s="86"/>
      <c r="M28" s="86"/>
    </row>
    <row r="29" spans="1:13">
      <c r="A29" s="90" t="str">
        <f>HYPERLINK("[UKMY 2023 PrintableV1.1 12_09_24.xlsx]Contents!A1","Return to contents page")</f>
        <v>Return to contents page</v>
      </c>
      <c r="B29" s="85"/>
      <c r="C29" s="86"/>
      <c r="D29" s="86"/>
      <c r="E29" s="86"/>
      <c r="F29" s="86"/>
      <c r="G29" s="86"/>
      <c r="H29" s="86"/>
      <c r="I29" s="86"/>
      <c r="J29" s="86"/>
      <c r="K29" s="86"/>
      <c r="L29" s="86"/>
      <c r="M29" s="86"/>
    </row>
    <row r="64" spans="5:5">
      <c r="E64" s="78"/>
    </row>
  </sheetData>
  <sortState xmlns:xlrd2="http://schemas.microsoft.com/office/spreadsheetml/2017/richdata2" ref="A3:M20">
    <sortCondition descending="1" ref="A3:A20"/>
    <sortCondition ref="B3:B20"/>
  </sortState>
  <pageMargins left="0.7" right="0.7" top="0.75" bottom="0.75" header="0.3" footer="0.3"/>
  <pageSetup paperSize="9"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0A42-630E-40F2-8FF7-F45F2B28AF98}">
  <dimension ref="A1:M64"/>
  <sheetViews>
    <sheetView view="pageBreakPreview" zoomScaleNormal="100" zoomScaleSheetLayoutView="100" workbookViewId="0">
      <selection activeCell="B4" sqref="B4"/>
    </sheetView>
  </sheetViews>
  <sheetFormatPr defaultColWidth="9.1796875" defaultRowHeight="14"/>
  <cols>
    <col min="1" max="1" width="21.7265625" style="73" customWidth="1"/>
    <col min="2" max="2" width="26.26953125" style="73" bestFit="1" customWidth="1"/>
    <col min="3" max="3" width="15.26953125" style="73" bestFit="1" customWidth="1"/>
    <col min="4" max="4" width="2.1796875" style="73" bestFit="1" customWidth="1"/>
    <col min="5" max="5" width="7.26953125" style="73" bestFit="1" customWidth="1"/>
    <col min="6" max="6" width="2.1796875" style="73" bestFit="1" customWidth="1"/>
    <col min="7" max="7" width="7.26953125" style="73" bestFit="1" customWidth="1"/>
    <col min="8" max="8" width="2.1796875" style="73" bestFit="1" customWidth="1"/>
    <col min="9" max="9" width="7.26953125" style="73" bestFit="1" customWidth="1"/>
    <col min="10" max="10" width="2.1796875"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615</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115</v>
      </c>
      <c r="C3" s="73" t="s">
        <v>201</v>
      </c>
      <c r="E3" s="75">
        <v>1640</v>
      </c>
      <c r="G3" s="75">
        <v>3131</v>
      </c>
      <c r="I3" s="75">
        <v>1386</v>
      </c>
      <c r="K3" s="75">
        <v>1397</v>
      </c>
      <c r="M3" s="75">
        <v>2795</v>
      </c>
    </row>
    <row r="5" spans="1:13">
      <c r="A5" s="73" t="s">
        <v>19</v>
      </c>
      <c r="B5" s="73" t="s">
        <v>115</v>
      </c>
      <c r="C5" s="73" t="s">
        <v>829</v>
      </c>
      <c r="E5" s="75">
        <v>15575</v>
      </c>
      <c r="G5" s="75">
        <v>15851</v>
      </c>
      <c r="I5" s="75">
        <v>13638</v>
      </c>
      <c r="K5" s="75">
        <v>12266</v>
      </c>
      <c r="M5" s="75">
        <v>19021</v>
      </c>
    </row>
    <row r="6" spans="1:13">
      <c r="A6" s="73" t="s">
        <v>19</v>
      </c>
      <c r="B6" s="73" t="s">
        <v>115</v>
      </c>
      <c r="C6" s="73" t="s">
        <v>201</v>
      </c>
      <c r="E6" s="75">
        <v>47384</v>
      </c>
      <c r="G6" s="75">
        <v>51818</v>
      </c>
      <c r="I6" s="75">
        <v>40660</v>
      </c>
      <c r="K6" s="75">
        <v>32151</v>
      </c>
      <c r="M6" s="75">
        <v>53846</v>
      </c>
    </row>
    <row r="8" spans="1:13">
      <c r="A8" s="73" t="s">
        <v>20</v>
      </c>
      <c r="B8" s="73" t="s">
        <v>115</v>
      </c>
      <c r="C8" s="73" t="s">
        <v>829</v>
      </c>
      <c r="E8" s="75">
        <v>1839</v>
      </c>
      <c r="G8" s="75">
        <v>1715</v>
      </c>
      <c r="I8" s="75">
        <v>1850</v>
      </c>
      <c r="K8" s="75">
        <v>1766</v>
      </c>
      <c r="M8" s="75">
        <v>1363</v>
      </c>
    </row>
    <row r="9" spans="1:13">
      <c r="A9" s="73" t="s">
        <v>20</v>
      </c>
      <c r="B9" s="73" t="s">
        <v>115</v>
      </c>
      <c r="C9" s="73" t="s">
        <v>201</v>
      </c>
      <c r="E9" s="75">
        <v>2759</v>
      </c>
      <c r="G9" s="75">
        <v>2027</v>
      </c>
      <c r="I9" s="75">
        <v>1884</v>
      </c>
      <c r="K9" s="75">
        <v>1674</v>
      </c>
      <c r="M9" s="75">
        <v>1281</v>
      </c>
    </row>
    <row r="10" spans="1:13">
      <c r="A10" s="76"/>
      <c r="B10" s="76"/>
      <c r="C10" s="76"/>
      <c r="D10" s="76"/>
      <c r="E10" s="76"/>
      <c r="F10" s="76"/>
      <c r="G10" s="76"/>
      <c r="H10" s="76"/>
      <c r="I10" s="76"/>
      <c r="J10" s="76"/>
      <c r="K10" s="76"/>
      <c r="L10" s="76"/>
      <c r="M10" s="76"/>
    </row>
    <row r="13" spans="1:13">
      <c r="A13" s="77" t="str">
        <f>HYPERLINK("[UKMY 2023 PrintableV1.1 12_09_24.xlsx]Contents!A1","Return to contents page")</f>
        <v>Return to contents page</v>
      </c>
    </row>
    <row r="64" spans="5:5">
      <c r="E64" s="78"/>
    </row>
  </sheetData>
  <sortState xmlns:xlrd2="http://schemas.microsoft.com/office/spreadsheetml/2017/richdata2" ref="A3:M9">
    <sortCondition descending="1" ref="A3:A9"/>
    <sortCondition ref="B3:B9"/>
  </sortState>
  <pageMargins left="0.7" right="0.7" top="0.75" bottom="0.75" header="0.3" footer="0.3"/>
  <pageSetup paperSize="9"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7BF7-93E1-4B20-AA15-92AD76780BE9}">
  <dimension ref="A1:M64"/>
  <sheetViews>
    <sheetView view="pageBreakPreview" zoomScaleNormal="100" zoomScaleSheetLayoutView="100" workbookViewId="0">
      <selection activeCell="B4" sqref="B4"/>
    </sheetView>
  </sheetViews>
  <sheetFormatPr defaultColWidth="9.1796875" defaultRowHeight="14"/>
  <cols>
    <col min="1" max="1" width="20.453125" style="73" customWidth="1"/>
    <col min="2" max="2" width="39.81640625" style="73" bestFit="1" customWidth="1"/>
    <col min="3" max="3" width="15.26953125" style="73" bestFit="1" customWidth="1"/>
    <col min="4" max="4" width="3" style="73" bestFit="1" customWidth="1"/>
    <col min="5" max="5" width="7.26953125" style="73" bestFit="1" customWidth="1"/>
    <col min="6" max="6" width="3" style="73" bestFit="1" customWidth="1"/>
    <col min="7" max="7" width="7.26953125" style="73" bestFit="1" customWidth="1"/>
    <col min="8" max="8" width="3" style="73" bestFit="1" customWidth="1"/>
    <col min="9" max="9" width="6.1796875" style="73" bestFit="1" customWidth="1"/>
    <col min="10" max="10" width="3"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616</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617</v>
      </c>
      <c r="C3" s="73" t="s">
        <v>829</v>
      </c>
      <c r="E3" s="75">
        <v>13189</v>
      </c>
      <c r="G3" s="75">
        <v>14016</v>
      </c>
      <c r="I3" s="75">
        <v>9130</v>
      </c>
      <c r="K3" s="75">
        <v>27310</v>
      </c>
      <c r="M3" s="75">
        <v>20129</v>
      </c>
    </row>
    <row r="4" spans="1:13">
      <c r="A4" s="73" t="s">
        <v>19</v>
      </c>
      <c r="B4" s="73" t="s">
        <v>617</v>
      </c>
      <c r="C4" s="73" t="s">
        <v>201</v>
      </c>
      <c r="E4" s="73">
        <v>870</v>
      </c>
      <c r="G4" s="73">
        <v>741</v>
      </c>
      <c r="I4" s="73">
        <v>445</v>
      </c>
      <c r="K4" s="75">
        <v>1406</v>
      </c>
      <c r="M4" s="73">
        <v>900</v>
      </c>
    </row>
    <row r="5" spans="1:13">
      <c r="A5" s="73" t="s">
        <v>19</v>
      </c>
      <c r="B5" s="73" t="s">
        <v>618</v>
      </c>
      <c r="C5" s="73" t="s">
        <v>829</v>
      </c>
      <c r="D5" s="73" t="s">
        <v>209</v>
      </c>
      <c r="E5" s="75">
        <v>10891</v>
      </c>
      <c r="F5" s="73" t="s">
        <v>209</v>
      </c>
      <c r="G5" s="75">
        <v>6502</v>
      </c>
      <c r="H5" s="73" t="s">
        <v>209</v>
      </c>
      <c r="I5" s="75">
        <v>6791</v>
      </c>
      <c r="J5" s="73" t="s">
        <v>209</v>
      </c>
      <c r="K5" s="75">
        <v>3832</v>
      </c>
    </row>
    <row r="6" spans="1:13">
      <c r="A6" s="73" t="s">
        <v>19</v>
      </c>
      <c r="B6" s="73" t="s">
        <v>618</v>
      </c>
      <c r="C6" s="73" t="s">
        <v>201</v>
      </c>
      <c r="D6" s="73" t="s">
        <v>209</v>
      </c>
      <c r="E6" s="73">
        <v>214</v>
      </c>
      <c r="F6" s="73" t="s">
        <v>209</v>
      </c>
      <c r="G6" s="73">
        <v>136</v>
      </c>
      <c r="H6" s="73" t="s">
        <v>209</v>
      </c>
      <c r="I6" s="73">
        <v>114</v>
      </c>
      <c r="J6" s="73" t="s">
        <v>209</v>
      </c>
      <c r="K6" s="73">
        <v>84</v>
      </c>
    </row>
    <row r="7" spans="1:13">
      <c r="A7" s="73" t="s">
        <v>19</v>
      </c>
      <c r="B7" s="73" t="s">
        <v>619</v>
      </c>
      <c r="C7" s="73" t="s">
        <v>829</v>
      </c>
      <c r="E7" s="75">
        <v>22977</v>
      </c>
      <c r="G7" s="75">
        <v>14464</v>
      </c>
      <c r="I7" s="75">
        <v>8393</v>
      </c>
      <c r="K7" s="75">
        <v>19137</v>
      </c>
      <c r="M7" s="75">
        <v>25148</v>
      </c>
    </row>
    <row r="8" spans="1:13">
      <c r="A8" s="73" t="s">
        <v>19</v>
      </c>
      <c r="B8" s="73" t="s">
        <v>619</v>
      </c>
      <c r="C8" s="73" t="s">
        <v>201</v>
      </c>
      <c r="E8" s="73">
        <v>129</v>
      </c>
      <c r="G8" s="73">
        <v>195</v>
      </c>
      <c r="I8" s="73">
        <v>93</v>
      </c>
      <c r="K8" s="73">
        <v>127</v>
      </c>
      <c r="M8" s="73">
        <v>178</v>
      </c>
    </row>
    <row r="10" spans="1:13">
      <c r="A10" s="73" t="s">
        <v>20</v>
      </c>
      <c r="B10" s="73" t="s">
        <v>617</v>
      </c>
      <c r="C10" s="73" t="s">
        <v>829</v>
      </c>
      <c r="E10" s="75">
        <v>1039</v>
      </c>
      <c r="G10" s="73">
        <v>583</v>
      </c>
      <c r="I10" s="73">
        <v>351</v>
      </c>
      <c r="K10" s="73">
        <v>98</v>
      </c>
      <c r="M10" s="73">
        <v>586</v>
      </c>
    </row>
    <row r="11" spans="1:13">
      <c r="A11" s="73" t="s">
        <v>20</v>
      </c>
      <c r="B11" s="73" t="s">
        <v>617</v>
      </c>
      <c r="C11" s="73" t="s">
        <v>201</v>
      </c>
      <c r="E11" s="73">
        <v>42</v>
      </c>
      <c r="G11" s="73">
        <v>37</v>
      </c>
      <c r="I11" s="73">
        <v>19</v>
      </c>
      <c r="K11" s="73">
        <v>7</v>
      </c>
      <c r="M11" s="73">
        <v>31</v>
      </c>
    </row>
    <row r="12" spans="1:13">
      <c r="A12" s="73" t="s">
        <v>20</v>
      </c>
      <c r="B12" s="73" t="s">
        <v>618</v>
      </c>
      <c r="C12" s="73" t="s">
        <v>829</v>
      </c>
      <c r="D12" s="73" t="s">
        <v>209</v>
      </c>
      <c r="E12" s="75">
        <v>8063</v>
      </c>
      <c r="F12" s="73" t="s">
        <v>209</v>
      </c>
      <c r="G12" s="75">
        <v>2299</v>
      </c>
      <c r="H12" s="73" t="s">
        <v>209</v>
      </c>
      <c r="I12" s="75">
        <v>2182</v>
      </c>
      <c r="J12" s="73" t="s">
        <v>209</v>
      </c>
      <c r="K12" s="75">
        <v>3142</v>
      </c>
    </row>
    <row r="13" spans="1:13">
      <c r="A13" s="73" t="s">
        <v>20</v>
      </c>
      <c r="B13" s="73" t="s">
        <v>618</v>
      </c>
      <c r="C13" s="73" t="s">
        <v>201</v>
      </c>
      <c r="D13" s="73" t="s">
        <v>209</v>
      </c>
      <c r="E13" s="73">
        <v>66</v>
      </c>
      <c r="F13" s="73" t="s">
        <v>209</v>
      </c>
      <c r="G13" s="73">
        <v>91</v>
      </c>
      <c r="H13" s="73" t="s">
        <v>209</v>
      </c>
      <c r="I13" s="73">
        <v>23</v>
      </c>
      <c r="J13" s="73" t="s">
        <v>209</v>
      </c>
      <c r="K13" s="73">
        <v>43</v>
      </c>
    </row>
    <row r="14" spans="1:13">
      <c r="A14" s="73" t="s">
        <v>20</v>
      </c>
      <c r="B14" s="73" t="s">
        <v>619</v>
      </c>
      <c r="C14" s="73" t="s">
        <v>829</v>
      </c>
      <c r="E14" s="75">
        <v>9544</v>
      </c>
      <c r="G14" s="75">
        <v>13957</v>
      </c>
      <c r="I14" s="75">
        <v>3396</v>
      </c>
      <c r="K14" s="75">
        <v>8753</v>
      </c>
      <c r="M14" s="75">
        <v>12409</v>
      </c>
    </row>
    <row r="15" spans="1:13">
      <c r="A15" s="73" t="s">
        <v>20</v>
      </c>
      <c r="B15" s="73" t="s">
        <v>619</v>
      </c>
      <c r="C15" s="73" t="s">
        <v>201</v>
      </c>
      <c r="E15" s="73">
        <v>56</v>
      </c>
      <c r="G15" s="73">
        <v>86</v>
      </c>
      <c r="I15" s="73">
        <v>24</v>
      </c>
      <c r="K15" s="73">
        <v>88</v>
      </c>
      <c r="M15" s="73">
        <v>69</v>
      </c>
    </row>
    <row r="16" spans="1:13">
      <c r="A16" s="76"/>
      <c r="B16" s="76"/>
      <c r="C16" s="76"/>
      <c r="D16" s="76"/>
      <c r="E16" s="76"/>
      <c r="F16" s="76"/>
      <c r="G16" s="76"/>
      <c r="H16" s="76"/>
      <c r="I16" s="76"/>
      <c r="J16" s="76"/>
      <c r="K16" s="76"/>
      <c r="L16" s="76"/>
      <c r="M16" s="76"/>
    </row>
    <row r="18" spans="1:2">
      <c r="A18" s="73" t="s">
        <v>14</v>
      </c>
      <c r="B18" s="73" t="s">
        <v>15</v>
      </c>
    </row>
    <row r="19" spans="1:2">
      <c r="A19" s="73" t="s">
        <v>215</v>
      </c>
      <c r="B19" s="73" t="s">
        <v>620</v>
      </c>
    </row>
    <row r="21" spans="1:2">
      <c r="A21" s="73" t="s">
        <v>808</v>
      </c>
    </row>
    <row r="24" spans="1:2">
      <c r="A24" s="77" t="str">
        <f>HYPERLINK("[UKMY 2023 PrintableV1.1 12_09_24.xlsx]Contents!A1","Return to contents page")</f>
        <v>Return to contents page</v>
      </c>
    </row>
    <row r="64" spans="5:5">
      <c r="E64" s="78"/>
    </row>
  </sheetData>
  <sortState xmlns:xlrd2="http://schemas.microsoft.com/office/spreadsheetml/2017/richdata2" ref="A3:M16">
    <sortCondition descending="1" ref="A3:A16"/>
    <sortCondition ref="B3:B16"/>
  </sortState>
  <pageMargins left="0.7" right="0.7" top="0.75" bottom="0.75" header="0.3" footer="0.3"/>
  <pageSetup paperSize="9"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17BA-D1B1-4FEC-B925-7F9598D301AA}">
  <dimension ref="A1:M64"/>
  <sheetViews>
    <sheetView view="pageBreakPreview" zoomScaleNormal="100" zoomScaleSheetLayoutView="100" workbookViewId="0">
      <selection activeCell="A6" sqref="A6"/>
    </sheetView>
  </sheetViews>
  <sheetFormatPr defaultColWidth="9.1796875" defaultRowHeight="14"/>
  <cols>
    <col min="1" max="1" width="22.26953125" style="73" customWidth="1"/>
    <col min="2" max="2" width="26.26953125" style="73" bestFit="1" customWidth="1"/>
    <col min="3" max="3" width="15.26953125" style="73" bestFit="1" customWidth="1"/>
    <col min="4" max="4" width="2.1796875" style="73" bestFit="1" customWidth="1"/>
    <col min="5" max="5" width="5.54296875" style="73" bestFit="1" customWidth="1"/>
    <col min="6" max="6" width="2.1796875" style="73" bestFit="1" customWidth="1"/>
    <col min="7" max="7" width="5.54296875" style="73" bestFit="1" customWidth="1"/>
    <col min="8" max="8" width="2.1796875" style="73" bestFit="1" customWidth="1"/>
    <col min="9" max="9" width="5.54296875" style="73" bestFit="1" customWidth="1"/>
    <col min="10" max="10" width="2.1796875" style="73" bestFit="1" customWidth="1"/>
    <col min="11" max="11" width="5.54296875" style="73" bestFit="1" customWidth="1"/>
    <col min="12" max="12" width="2.1796875" style="73" bestFit="1" customWidth="1"/>
    <col min="13" max="13" width="5.54296875" style="73" bestFit="1" customWidth="1"/>
    <col min="14" max="16384" width="9.1796875" style="73"/>
  </cols>
  <sheetData>
    <row r="1" spans="1:13" ht="15.5">
      <c r="A1" s="72" t="s">
        <v>621</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622</v>
      </c>
      <c r="C3" s="73" t="s">
        <v>829</v>
      </c>
      <c r="E3" s="73">
        <v>31</v>
      </c>
      <c r="G3" s="73">
        <v>102</v>
      </c>
      <c r="I3" s="73">
        <v>188</v>
      </c>
      <c r="K3" s="73">
        <v>147</v>
      </c>
      <c r="M3" s="73">
        <v>310</v>
      </c>
    </row>
    <row r="4" spans="1:13">
      <c r="A4" s="73" t="s">
        <v>19</v>
      </c>
      <c r="B4" s="73" t="s">
        <v>622</v>
      </c>
      <c r="C4" s="73" t="s">
        <v>201</v>
      </c>
      <c r="E4" s="73">
        <v>0</v>
      </c>
      <c r="G4" s="73">
        <v>1</v>
      </c>
      <c r="I4" s="73">
        <v>2</v>
      </c>
      <c r="K4" s="73">
        <v>1</v>
      </c>
      <c r="M4" s="73">
        <v>1</v>
      </c>
    </row>
    <row r="6" spans="1:13">
      <c r="A6" s="73" t="s">
        <v>20</v>
      </c>
      <c r="B6" s="73" t="s">
        <v>622</v>
      </c>
      <c r="C6" s="73" t="s">
        <v>829</v>
      </c>
      <c r="E6" s="73">
        <v>22</v>
      </c>
      <c r="G6" s="73">
        <v>28</v>
      </c>
      <c r="I6" s="73">
        <v>18</v>
      </c>
      <c r="K6" s="73">
        <v>25</v>
      </c>
      <c r="M6" s="73">
        <v>17</v>
      </c>
    </row>
    <row r="7" spans="1:13">
      <c r="A7" s="73" t="s">
        <v>20</v>
      </c>
      <c r="B7" s="73" t="s">
        <v>622</v>
      </c>
      <c r="C7" s="73" t="s">
        <v>201</v>
      </c>
      <c r="E7" s="73">
        <v>1</v>
      </c>
      <c r="G7" s="73">
        <v>0</v>
      </c>
      <c r="I7" s="73">
        <v>0</v>
      </c>
      <c r="K7" s="73">
        <v>0</v>
      </c>
      <c r="M7" s="73">
        <v>0</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01DA-E8F3-4580-9D18-7FA480380451}">
  <dimension ref="A1:M64"/>
  <sheetViews>
    <sheetView view="pageBreakPreview" zoomScaleNormal="100" zoomScaleSheetLayoutView="100" workbookViewId="0">
      <selection activeCell="A9" sqref="A9"/>
    </sheetView>
  </sheetViews>
  <sheetFormatPr defaultColWidth="9.1796875" defaultRowHeight="14"/>
  <cols>
    <col min="1" max="1" width="21" style="73" customWidth="1"/>
    <col min="2" max="2" width="26.26953125" style="73" bestFit="1" customWidth="1"/>
    <col min="3" max="3" width="22.26953125" style="73" bestFit="1" customWidth="1"/>
    <col min="4" max="4" width="2.1796875" style="73" bestFit="1" customWidth="1"/>
    <col min="5" max="5" width="7.26953125" style="73" bestFit="1" customWidth="1"/>
    <col min="6" max="6" width="2.1796875" style="73" bestFit="1" customWidth="1"/>
    <col min="7" max="7" width="7.26953125" style="73" bestFit="1" customWidth="1"/>
    <col min="8" max="8" width="2.1796875" style="73" bestFit="1" customWidth="1"/>
    <col min="9" max="9" width="7.26953125" style="73" bestFit="1" customWidth="1"/>
    <col min="10" max="10" width="2.1796875" style="73" bestFit="1" customWidth="1"/>
    <col min="11" max="11" width="7.26953125" style="73" bestFit="1" customWidth="1"/>
    <col min="12" max="12" width="2.1796875" style="73" bestFit="1" customWidth="1"/>
    <col min="13" max="13" width="8.453125" style="73" bestFit="1" customWidth="1"/>
    <col min="14" max="16384" width="9.1796875" style="73"/>
  </cols>
  <sheetData>
    <row r="1" spans="1:13" ht="15.5">
      <c r="A1" s="72" t="s">
        <v>623</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629</v>
      </c>
      <c r="C3" s="73" t="s">
        <v>326</v>
      </c>
      <c r="D3" s="73" t="s">
        <v>221</v>
      </c>
      <c r="E3" s="73">
        <v>230</v>
      </c>
      <c r="G3" s="73">
        <v>0</v>
      </c>
      <c r="I3" s="73">
        <v>0</v>
      </c>
      <c r="K3" s="73">
        <v>0</v>
      </c>
      <c r="M3" s="73">
        <v>0</v>
      </c>
    </row>
    <row r="5" spans="1:13">
      <c r="A5" s="73" t="s">
        <v>223</v>
      </c>
      <c r="B5" s="73" t="s">
        <v>625</v>
      </c>
      <c r="C5" s="73" t="s">
        <v>326</v>
      </c>
      <c r="E5" s="75">
        <v>1080</v>
      </c>
      <c r="G5" s="75">
        <v>1080</v>
      </c>
      <c r="I5" s="73">
        <v>240</v>
      </c>
      <c r="K5" s="73">
        <v>960</v>
      </c>
      <c r="M5" s="73">
        <v>960</v>
      </c>
    </row>
    <row r="7" spans="1:13">
      <c r="A7" s="73" t="s">
        <v>19</v>
      </c>
      <c r="B7" s="73" t="s">
        <v>624</v>
      </c>
      <c r="C7" s="73" t="s">
        <v>829</v>
      </c>
      <c r="E7" s="73">
        <v>0</v>
      </c>
      <c r="G7" s="73">
        <v>414</v>
      </c>
      <c r="I7" s="73">
        <v>355</v>
      </c>
      <c r="K7" s="73">
        <v>3</v>
      </c>
      <c r="M7" s="73">
        <v>15</v>
      </c>
    </row>
    <row r="8" spans="1:13">
      <c r="A8" s="73" t="s">
        <v>19</v>
      </c>
      <c r="B8" s="73" t="s">
        <v>624</v>
      </c>
      <c r="C8" s="73" t="s">
        <v>201</v>
      </c>
      <c r="E8" s="73">
        <v>0</v>
      </c>
      <c r="G8" s="73">
        <v>25</v>
      </c>
      <c r="I8" s="73">
        <v>25</v>
      </c>
      <c r="K8" s="73">
        <v>0</v>
      </c>
      <c r="M8" s="73">
        <v>2</v>
      </c>
    </row>
    <row r="9" spans="1:13">
      <c r="A9" s="73" t="s">
        <v>19</v>
      </c>
      <c r="B9" s="73" t="s">
        <v>626</v>
      </c>
      <c r="C9" s="73" t="s">
        <v>829</v>
      </c>
      <c r="E9" s="73">
        <v>112</v>
      </c>
      <c r="G9" s="73">
        <v>42</v>
      </c>
      <c r="I9" s="73">
        <v>41</v>
      </c>
      <c r="K9" s="73">
        <v>162</v>
      </c>
      <c r="M9" s="73">
        <v>87</v>
      </c>
    </row>
    <row r="10" spans="1:13">
      <c r="A10" s="73" t="s">
        <v>19</v>
      </c>
      <c r="B10" s="73" t="s">
        <v>626</v>
      </c>
      <c r="C10" s="73" t="s">
        <v>201</v>
      </c>
      <c r="E10" s="73">
        <v>18</v>
      </c>
      <c r="G10" s="73">
        <v>6</v>
      </c>
      <c r="I10" s="73">
        <v>5</v>
      </c>
      <c r="K10" s="73">
        <v>14</v>
      </c>
      <c r="M10" s="73">
        <v>30</v>
      </c>
    </row>
    <row r="11" spans="1:13">
      <c r="A11" s="73" t="s">
        <v>19</v>
      </c>
      <c r="B11" s="73" t="s">
        <v>627</v>
      </c>
      <c r="C11" s="73" t="s">
        <v>829</v>
      </c>
      <c r="E11" s="75">
        <v>1150</v>
      </c>
      <c r="G11" s="75">
        <v>1869</v>
      </c>
      <c r="I11" s="73">
        <v>818</v>
      </c>
      <c r="K11" s="75">
        <v>1158</v>
      </c>
      <c r="M11" s="75">
        <v>2693</v>
      </c>
    </row>
    <row r="12" spans="1:13">
      <c r="A12" s="73" t="s">
        <v>19</v>
      </c>
      <c r="B12" s="73" t="s">
        <v>627</v>
      </c>
      <c r="C12" s="73" t="s">
        <v>201</v>
      </c>
      <c r="E12" s="73">
        <v>110</v>
      </c>
      <c r="G12" s="73">
        <v>120</v>
      </c>
      <c r="I12" s="73">
        <v>49</v>
      </c>
      <c r="K12" s="73">
        <v>72</v>
      </c>
      <c r="M12" s="73">
        <v>80</v>
      </c>
    </row>
    <row r="13" spans="1:13">
      <c r="A13" s="73" t="s">
        <v>19</v>
      </c>
      <c r="B13" s="73" t="s">
        <v>628</v>
      </c>
      <c r="C13" s="73" t="s">
        <v>829</v>
      </c>
      <c r="E13" s="75">
        <v>84191</v>
      </c>
      <c r="G13" s="75">
        <v>52932</v>
      </c>
      <c r="I13" s="75">
        <v>50471</v>
      </c>
      <c r="K13" s="75">
        <v>80851</v>
      </c>
      <c r="M13" s="75">
        <v>100767</v>
      </c>
    </row>
    <row r="14" spans="1:13">
      <c r="A14" s="73" t="s">
        <v>19</v>
      </c>
      <c r="B14" s="73" t="s">
        <v>628</v>
      </c>
      <c r="C14" s="73" t="s">
        <v>201</v>
      </c>
      <c r="E14" s="75">
        <v>5533</v>
      </c>
      <c r="G14" s="75">
        <v>3440</v>
      </c>
      <c r="I14" s="75">
        <v>3641</v>
      </c>
      <c r="K14" s="75">
        <v>3492</v>
      </c>
      <c r="M14" s="75">
        <v>3607</v>
      </c>
    </row>
    <row r="16" spans="1:13">
      <c r="A16" s="73" t="s">
        <v>20</v>
      </c>
      <c r="B16" s="73" t="s">
        <v>624</v>
      </c>
      <c r="C16" s="73" t="s">
        <v>829</v>
      </c>
    </row>
    <row r="17" spans="1:13">
      <c r="A17" s="73" t="s">
        <v>20</v>
      </c>
      <c r="B17" s="73" t="s">
        <v>624</v>
      </c>
      <c r="C17" s="73" t="s">
        <v>201</v>
      </c>
    </row>
    <row r="18" spans="1:13">
      <c r="A18" s="73" t="s">
        <v>20</v>
      </c>
      <c r="B18" s="73" t="s">
        <v>626</v>
      </c>
      <c r="C18" s="73" t="s">
        <v>829</v>
      </c>
      <c r="E18" s="73">
        <v>105</v>
      </c>
      <c r="G18" s="73">
        <v>402</v>
      </c>
      <c r="I18" s="73">
        <v>188</v>
      </c>
      <c r="K18" s="75">
        <v>2413</v>
      </c>
      <c r="M18" s="75">
        <v>2228</v>
      </c>
    </row>
    <row r="19" spans="1:13">
      <c r="A19" s="73" t="s">
        <v>20</v>
      </c>
      <c r="B19" s="73" t="s">
        <v>626</v>
      </c>
      <c r="C19" s="73" t="s">
        <v>201</v>
      </c>
      <c r="E19" s="73">
        <v>10</v>
      </c>
      <c r="G19" s="73">
        <v>99</v>
      </c>
      <c r="I19" s="73">
        <v>18</v>
      </c>
      <c r="K19" s="73">
        <v>704</v>
      </c>
      <c r="M19" s="73">
        <v>620</v>
      </c>
    </row>
    <row r="20" spans="1:13">
      <c r="A20" s="73" t="s">
        <v>20</v>
      </c>
      <c r="B20" s="73" t="s">
        <v>627</v>
      </c>
      <c r="C20" s="73" t="s">
        <v>829</v>
      </c>
      <c r="E20" s="75">
        <v>4416</v>
      </c>
      <c r="G20" s="75">
        <v>3504</v>
      </c>
      <c r="I20" s="75">
        <v>3483</v>
      </c>
      <c r="K20" s="75">
        <v>2680</v>
      </c>
      <c r="M20" s="75">
        <v>6519</v>
      </c>
    </row>
    <row r="21" spans="1:13">
      <c r="A21" s="73" t="s">
        <v>20</v>
      </c>
      <c r="B21" s="73" t="s">
        <v>627</v>
      </c>
      <c r="C21" s="73" t="s">
        <v>201</v>
      </c>
      <c r="E21" s="73">
        <v>375</v>
      </c>
      <c r="G21" s="73">
        <v>280</v>
      </c>
      <c r="I21" s="73">
        <v>315</v>
      </c>
      <c r="K21" s="73">
        <v>177</v>
      </c>
      <c r="M21" s="73">
        <v>293</v>
      </c>
    </row>
    <row r="22" spans="1:13">
      <c r="A22" s="73" t="s">
        <v>20</v>
      </c>
      <c r="B22" s="73" t="s">
        <v>628</v>
      </c>
      <c r="C22" s="73" t="s">
        <v>829</v>
      </c>
      <c r="E22" s="75">
        <v>4469</v>
      </c>
      <c r="G22" s="75">
        <v>1940</v>
      </c>
      <c r="I22" s="75">
        <v>1667</v>
      </c>
      <c r="K22" s="75">
        <v>2670</v>
      </c>
      <c r="M22" s="75">
        <v>2465</v>
      </c>
    </row>
    <row r="23" spans="1:13">
      <c r="A23" s="73" t="s">
        <v>20</v>
      </c>
      <c r="B23" s="73" t="s">
        <v>628</v>
      </c>
      <c r="C23" s="73" t="s">
        <v>201</v>
      </c>
      <c r="E23" s="73">
        <v>270</v>
      </c>
      <c r="G23" s="73">
        <v>159</v>
      </c>
      <c r="I23" s="73">
        <v>139</v>
      </c>
      <c r="K23" s="73">
        <v>78</v>
      </c>
      <c r="M23" s="73">
        <v>84</v>
      </c>
    </row>
    <row r="24" spans="1:13">
      <c r="A24" s="76"/>
      <c r="B24" s="76"/>
      <c r="C24" s="76"/>
      <c r="D24" s="76"/>
      <c r="E24" s="76"/>
      <c r="F24" s="76"/>
      <c r="G24" s="76"/>
      <c r="H24" s="76"/>
      <c r="I24" s="76"/>
      <c r="J24" s="76"/>
      <c r="K24" s="76"/>
      <c r="L24" s="76"/>
      <c r="M24" s="76"/>
    </row>
    <row r="26" spans="1:13">
      <c r="A26" s="73" t="s">
        <v>14</v>
      </c>
      <c r="B26" s="73" t="s">
        <v>15</v>
      </c>
    </row>
    <row r="27" spans="1:13">
      <c r="A27" s="73" t="s">
        <v>221</v>
      </c>
      <c r="B27" s="73" t="s">
        <v>297</v>
      </c>
    </row>
    <row r="30" spans="1:13">
      <c r="A30" s="77" t="str">
        <f>HYPERLINK("[UKMY 2023 PrintableV1.1 12_09_24.xlsx]Contents!A1","Return to contents page")</f>
        <v>Return to contents page</v>
      </c>
    </row>
    <row r="64" spans="5:5">
      <c r="E64" s="78"/>
    </row>
  </sheetData>
  <sortState xmlns:xlrd2="http://schemas.microsoft.com/office/spreadsheetml/2017/richdata2" ref="A3:M23">
    <sortCondition descending="1" ref="A3:A23"/>
    <sortCondition ref="B3:B23"/>
  </sortState>
  <pageMargins left="0.7" right="0.7" top="0.75" bottom="0.75" header="0.3" footer="0.3"/>
  <pageSetup paperSize="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FD925-17D3-4D2C-A80C-C6E1762DDB1C}">
  <dimension ref="A1:M64"/>
  <sheetViews>
    <sheetView view="pageBreakPreview" topLeftCell="A16" zoomScaleNormal="100" zoomScaleSheetLayoutView="100" workbookViewId="0">
      <selection activeCell="C43" sqref="C43"/>
    </sheetView>
  </sheetViews>
  <sheetFormatPr defaultColWidth="9.1796875" defaultRowHeight="14"/>
  <cols>
    <col min="1" max="1" width="12.81640625" style="73" customWidth="1"/>
    <col min="2" max="2" width="41.1796875" style="79" bestFit="1" customWidth="1"/>
    <col min="3" max="3" width="15.26953125" style="73" bestFit="1" customWidth="1"/>
    <col min="4" max="4" width="3.453125" style="73" bestFit="1" customWidth="1"/>
    <col min="5" max="5" width="8.453125" style="73" bestFit="1" customWidth="1"/>
    <col min="6" max="6" width="3.453125" style="73" bestFit="1" customWidth="1"/>
    <col min="7" max="7" width="8.453125" style="73" bestFit="1" customWidth="1"/>
    <col min="8" max="8" width="3.453125" style="73" bestFit="1" customWidth="1"/>
    <col min="9" max="9" width="8.453125" style="73" bestFit="1" customWidth="1"/>
    <col min="10" max="10" width="3.453125" style="73" bestFit="1" customWidth="1"/>
    <col min="11" max="11" width="8.453125" style="73" bestFit="1" customWidth="1"/>
    <col min="12" max="12" width="3.453125" style="73" bestFit="1" customWidth="1"/>
    <col min="13" max="13" width="10.1796875" style="73" bestFit="1" customWidth="1"/>
    <col min="14" max="16384" width="9.1796875" style="73"/>
  </cols>
  <sheetData>
    <row r="1" spans="1:13" ht="15.5">
      <c r="A1" s="72" t="s">
        <v>630</v>
      </c>
    </row>
    <row r="2" spans="1:13">
      <c r="A2" s="74" t="s">
        <v>670</v>
      </c>
      <c r="B2" s="80" t="s">
        <v>0</v>
      </c>
      <c r="C2" s="74" t="s">
        <v>669</v>
      </c>
      <c r="D2" s="74" t="s">
        <v>1</v>
      </c>
      <c r="E2" s="74">
        <v>2018</v>
      </c>
      <c r="F2" s="74" t="s">
        <v>1</v>
      </c>
      <c r="G2" s="74">
        <v>2019</v>
      </c>
      <c r="H2" s="74" t="s">
        <v>1</v>
      </c>
      <c r="I2" s="74">
        <v>2020</v>
      </c>
      <c r="J2" s="74" t="s">
        <v>1</v>
      </c>
      <c r="K2" s="74">
        <v>2021</v>
      </c>
      <c r="L2" s="74" t="s">
        <v>1</v>
      </c>
      <c r="M2" s="74">
        <v>2022</v>
      </c>
    </row>
    <row r="3" spans="1:13">
      <c r="A3" s="73" t="s">
        <v>38</v>
      </c>
      <c r="B3" s="79" t="s">
        <v>735</v>
      </c>
      <c r="C3" s="73" t="s">
        <v>201</v>
      </c>
      <c r="D3" s="73" t="s">
        <v>213</v>
      </c>
      <c r="E3" s="75">
        <v>280000</v>
      </c>
      <c r="F3" s="73" t="s">
        <v>213</v>
      </c>
      <c r="G3" s="75">
        <v>270000</v>
      </c>
      <c r="H3" s="73" t="s">
        <v>213</v>
      </c>
      <c r="I3" s="75">
        <v>270000</v>
      </c>
      <c r="J3" s="73" t="s">
        <v>213</v>
      </c>
      <c r="K3" s="75">
        <v>220000</v>
      </c>
      <c r="L3" s="73" t="s">
        <v>213</v>
      </c>
      <c r="M3" s="75">
        <v>430000</v>
      </c>
    </row>
    <row r="5" spans="1:13" ht="28">
      <c r="A5" s="79" t="s">
        <v>300</v>
      </c>
      <c r="B5" s="79" t="s">
        <v>736</v>
      </c>
      <c r="C5" s="73" t="s">
        <v>201</v>
      </c>
      <c r="D5" s="73" t="s">
        <v>205</v>
      </c>
      <c r="E5" s="75">
        <v>63000</v>
      </c>
      <c r="F5" s="73" t="s">
        <v>205</v>
      </c>
      <c r="G5" s="75">
        <v>10000</v>
      </c>
      <c r="H5" s="73" t="s">
        <v>205</v>
      </c>
      <c r="I5" s="75">
        <v>28000</v>
      </c>
      <c r="J5" s="73" t="s">
        <v>205</v>
      </c>
      <c r="L5" s="73" t="s">
        <v>205</v>
      </c>
    </row>
    <row r="7" spans="1:13" ht="28">
      <c r="A7" s="73" t="s">
        <v>19</v>
      </c>
      <c r="B7" s="79" t="s">
        <v>631</v>
      </c>
      <c r="C7" s="73" t="s">
        <v>829</v>
      </c>
      <c r="D7" s="73" t="s">
        <v>209</v>
      </c>
      <c r="E7" s="75">
        <v>1140</v>
      </c>
      <c r="F7" s="73" t="s">
        <v>209</v>
      </c>
      <c r="G7" s="73">
        <v>577</v>
      </c>
      <c r="H7" s="73" t="s">
        <v>209</v>
      </c>
      <c r="I7" s="73">
        <v>579</v>
      </c>
      <c r="J7" s="73" t="s">
        <v>209</v>
      </c>
      <c r="K7" s="75">
        <v>3193</v>
      </c>
      <c r="M7" s="75">
        <v>1695</v>
      </c>
    </row>
    <row r="8" spans="1:13" ht="28">
      <c r="A8" s="73" t="s">
        <v>19</v>
      </c>
      <c r="B8" s="79" t="s">
        <v>631</v>
      </c>
      <c r="C8" s="73" t="s">
        <v>201</v>
      </c>
      <c r="D8" s="73" t="s">
        <v>209</v>
      </c>
      <c r="E8" s="73">
        <v>463</v>
      </c>
      <c r="F8" s="73" t="s">
        <v>209</v>
      </c>
      <c r="G8" s="73">
        <v>214</v>
      </c>
      <c r="H8" s="73" t="s">
        <v>209</v>
      </c>
      <c r="I8" s="73">
        <v>198</v>
      </c>
      <c r="J8" s="73" t="s">
        <v>209</v>
      </c>
      <c r="K8" s="73">
        <v>257</v>
      </c>
      <c r="M8" s="73">
        <v>345</v>
      </c>
    </row>
    <row r="9" spans="1:13">
      <c r="A9" s="73" t="s">
        <v>19</v>
      </c>
      <c r="B9" s="79" t="s">
        <v>632</v>
      </c>
      <c r="C9" s="73" t="s">
        <v>829</v>
      </c>
      <c r="E9" s="75">
        <v>12819</v>
      </c>
      <c r="G9" s="75">
        <v>11225</v>
      </c>
      <c r="I9" s="75">
        <v>9577</v>
      </c>
      <c r="K9" s="75">
        <v>13147</v>
      </c>
      <c r="M9" s="75">
        <v>21883</v>
      </c>
    </row>
    <row r="10" spans="1:13">
      <c r="A10" s="73" t="s">
        <v>19</v>
      </c>
      <c r="B10" s="79" t="s">
        <v>632</v>
      </c>
      <c r="C10" s="73" t="s">
        <v>201</v>
      </c>
      <c r="E10" s="75">
        <v>5183</v>
      </c>
      <c r="G10" s="75">
        <v>4154</v>
      </c>
      <c r="I10" s="75">
        <v>3601</v>
      </c>
      <c r="K10" s="75">
        <v>4767</v>
      </c>
      <c r="M10" s="75">
        <v>6609</v>
      </c>
    </row>
    <row r="11" spans="1:13" ht="28">
      <c r="A11" s="73" t="s">
        <v>19</v>
      </c>
      <c r="B11" s="79" t="s">
        <v>633</v>
      </c>
      <c r="C11" s="73" t="s">
        <v>829</v>
      </c>
      <c r="E11" s="75">
        <v>136956</v>
      </c>
      <c r="G11" s="75">
        <v>140920</v>
      </c>
      <c r="I11" s="75">
        <v>130936</v>
      </c>
      <c r="K11" s="75">
        <v>144253</v>
      </c>
      <c r="M11" s="75">
        <v>282155</v>
      </c>
    </row>
    <row r="12" spans="1:13" ht="28">
      <c r="A12" s="73" t="s">
        <v>19</v>
      </c>
      <c r="B12" s="79" t="s">
        <v>633</v>
      </c>
      <c r="C12" s="73" t="s">
        <v>201</v>
      </c>
      <c r="E12" s="75">
        <v>56354</v>
      </c>
      <c r="G12" s="75">
        <v>60819</v>
      </c>
      <c r="I12" s="75">
        <v>62455</v>
      </c>
      <c r="K12" s="75">
        <v>58167</v>
      </c>
      <c r="M12" s="75">
        <v>100787</v>
      </c>
    </row>
    <row r="13" spans="1:13">
      <c r="A13" s="73" t="s">
        <v>19</v>
      </c>
      <c r="B13" s="79" t="s">
        <v>634</v>
      </c>
      <c r="C13" s="73" t="s">
        <v>829</v>
      </c>
      <c r="E13" s="75">
        <v>18585</v>
      </c>
      <c r="G13" s="75">
        <v>17391</v>
      </c>
      <c r="I13" s="75">
        <v>10659</v>
      </c>
      <c r="K13" s="75">
        <v>17527</v>
      </c>
      <c r="M13" s="75">
        <v>42156</v>
      </c>
    </row>
    <row r="14" spans="1:13">
      <c r="A14" s="73" t="s">
        <v>19</v>
      </c>
      <c r="B14" s="79" t="s">
        <v>634</v>
      </c>
      <c r="C14" s="73" t="s">
        <v>201</v>
      </c>
      <c r="E14" s="75">
        <v>10251</v>
      </c>
      <c r="G14" s="75">
        <v>8986</v>
      </c>
      <c r="I14" s="75">
        <v>7302</v>
      </c>
      <c r="K14" s="75">
        <v>6335</v>
      </c>
      <c r="M14" s="75">
        <v>9056</v>
      </c>
    </row>
    <row r="15" spans="1:13">
      <c r="A15" s="73" t="s">
        <v>19</v>
      </c>
      <c r="B15" s="79" t="s">
        <v>635</v>
      </c>
      <c r="C15" s="73" t="s">
        <v>829</v>
      </c>
      <c r="E15" s="75">
        <v>159118</v>
      </c>
      <c r="G15" s="75">
        <v>123008</v>
      </c>
      <c r="I15" s="75">
        <v>128060</v>
      </c>
      <c r="K15" s="75">
        <v>100475</v>
      </c>
      <c r="M15" s="75">
        <v>150249</v>
      </c>
    </row>
    <row r="16" spans="1:13">
      <c r="A16" s="73" t="s">
        <v>19</v>
      </c>
      <c r="B16" s="79" t="s">
        <v>635</v>
      </c>
      <c r="C16" s="73" t="s">
        <v>201</v>
      </c>
      <c r="E16" s="75">
        <v>301584</v>
      </c>
      <c r="G16" s="75">
        <v>201493</v>
      </c>
      <c r="I16" s="75">
        <v>201432</v>
      </c>
      <c r="K16" s="75">
        <v>150665</v>
      </c>
      <c r="M16" s="75">
        <v>229991</v>
      </c>
    </row>
    <row r="17" spans="1:13">
      <c r="A17" s="73" t="s">
        <v>19</v>
      </c>
      <c r="B17" s="79" t="s">
        <v>636</v>
      </c>
      <c r="C17" s="73" t="s">
        <v>829</v>
      </c>
    </row>
    <row r="18" spans="1:13">
      <c r="A18" s="73" t="s">
        <v>19</v>
      </c>
      <c r="B18" s="79" t="s">
        <v>636</v>
      </c>
      <c r="C18" s="73" t="s">
        <v>201</v>
      </c>
    </row>
    <row r="19" spans="1:13">
      <c r="A19" s="73" t="s">
        <v>19</v>
      </c>
      <c r="B19" s="79" t="s">
        <v>637</v>
      </c>
      <c r="C19" s="73" t="s">
        <v>829</v>
      </c>
      <c r="E19" s="75">
        <v>103222</v>
      </c>
      <c r="G19" s="75">
        <v>94023</v>
      </c>
      <c r="I19" s="75">
        <v>48227</v>
      </c>
      <c r="K19" s="75">
        <v>34952</v>
      </c>
      <c r="M19" s="75">
        <v>69770</v>
      </c>
    </row>
    <row r="20" spans="1:13">
      <c r="A20" s="73" t="s">
        <v>19</v>
      </c>
      <c r="B20" s="79" t="s">
        <v>637</v>
      </c>
      <c r="C20" s="73" t="s">
        <v>201</v>
      </c>
      <c r="E20" s="75">
        <v>11260</v>
      </c>
      <c r="G20" s="75">
        <v>10740</v>
      </c>
      <c r="I20" s="75">
        <v>6164</v>
      </c>
      <c r="K20" s="75">
        <v>4420</v>
      </c>
      <c r="M20" s="75">
        <v>7550</v>
      </c>
    </row>
    <row r="21" spans="1:13">
      <c r="A21" s="73" t="s">
        <v>19</v>
      </c>
      <c r="B21" s="79" t="s">
        <v>638</v>
      </c>
      <c r="C21" s="73" t="s">
        <v>829</v>
      </c>
      <c r="E21" s="75">
        <v>435014</v>
      </c>
      <c r="G21" s="75">
        <v>417620</v>
      </c>
      <c r="I21" s="75">
        <v>312708</v>
      </c>
      <c r="K21" s="75">
        <v>180658</v>
      </c>
      <c r="M21" s="75">
        <v>254895</v>
      </c>
    </row>
    <row r="22" spans="1:13">
      <c r="A22" s="73" t="s">
        <v>19</v>
      </c>
      <c r="B22" s="79" t="s">
        <v>638</v>
      </c>
      <c r="C22" s="73" t="s">
        <v>201</v>
      </c>
      <c r="E22" s="75">
        <v>16825</v>
      </c>
      <c r="G22" s="75">
        <v>8520</v>
      </c>
      <c r="I22" s="75">
        <v>6226</v>
      </c>
      <c r="K22" s="75">
        <v>5174</v>
      </c>
      <c r="M22" s="75">
        <v>5275</v>
      </c>
    </row>
    <row r="24" spans="1:13" ht="28">
      <c r="A24" s="73" t="s">
        <v>20</v>
      </c>
      <c r="B24" s="79" t="s">
        <v>631</v>
      </c>
      <c r="C24" s="73" t="s">
        <v>829</v>
      </c>
      <c r="D24" s="73" t="s">
        <v>209</v>
      </c>
      <c r="E24" s="75">
        <v>43019</v>
      </c>
      <c r="F24" s="73" t="s">
        <v>209</v>
      </c>
      <c r="G24" s="75">
        <v>33972</v>
      </c>
      <c r="H24" s="73" t="s">
        <v>209</v>
      </c>
      <c r="I24" s="75">
        <v>26805</v>
      </c>
      <c r="J24" s="73" t="s">
        <v>209</v>
      </c>
      <c r="K24" s="75">
        <v>43996</v>
      </c>
      <c r="M24" s="75">
        <v>66078</v>
      </c>
    </row>
    <row r="25" spans="1:13" ht="28">
      <c r="A25" s="73" t="s">
        <v>20</v>
      </c>
      <c r="B25" s="79" t="s">
        <v>631</v>
      </c>
      <c r="C25" s="73" t="s">
        <v>201</v>
      </c>
      <c r="D25" s="73" t="s">
        <v>209</v>
      </c>
      <c r="E25" s="75">
        <v>16181</v>
      </c>
      <c r="F25" s="73" t="s">
        <v>209</v>
      </c>
      <c r="G25" s="75">
        <v>13143</v>
      </c>
      <c r="H25" s="73" t="s">
        <v>209</v>
      </c>
      <c r="I25" s="75">
        <v>12014</v>
      </c>
      <c r="J25" s="73" t="s">
        <v>209</v>
      </c>
      <c r="K25" s="75">
        <v>12021</v>
      </c>
      <c r="M25" s="75">
        <v>10912</v>
      </c>
    </row>
    <row r="26" spans="1:13">
      <c r="A26" s="73" t="s">
        <v>20</v>
      </c>
      <c r="B26" s="79" t="s">
        <v>632</v>
      </c>
      <c r="C26" s="73" t="s">
        <v>829</v>
      </c>
      <c r="E26" s="75">
        <v>2529</v>
      </c>
      <c r="G26" s="75">
        <v>3306</v>
      </c>
      <c r="I26" s="75">
        <v>8546</v>
      </c>
      <c r="K26" s="75">
        <v>6984</v>
      </c>
      <c r="M26" s="75">
        <v>2372</v>
      </c>
    </row>
    <row r="27" spans="1:13">
      <c r="A27" s="73" t="s">
        <v>20</v>
      </c>
      <c r="B27" s="79" t="s">
        <v>632</v>
      </c>
      <c r="C27" s="73" t="s">
        <v>201</v>
      </c>
      <c r="E27" s="73">
        <v>628</v>
      </c>
      <c r="G27" s="75">
        <v>1258</v>
      </c>
      <c r="I27" s="75">
        <v>3421</v>
      </c>
      <c r="K27" s="75">
        <v>2574</v>
      </c>
      <c r="M27" s="73">
        <v>563</v>
      </c>
    </row>
    <row r="28" spans="1:13" ht="28">
      <c r="A28" s="73" t="s">
        <v>20</v>
      </c>
      <c r="B28" s="79" t="s">
        <v>633</v>
      </c>
      <c r="C28" s="73" t="s">
        <v>829</v>
      </c>
      <c r="E28" s="75">
        <v>489145</v>
      </c>
      <c r="G28" s="75">
        <v>473943</v>
      </c>
      <c r="I28" s="75">
        <v>456446</v>
      </c>
      <c r="K28" s="75">
        <v>475650</v>
      </c>
      <c r="M28" s="75">
        <v>1000905</v>
      </c>
    </row>
    <row r="29" spans="1:13" ht="28">
      <c r="A29" s="73" t="s">
        <v>20</v>
      </c>
      <c r="B29" s="79" t="s">
        <v>633</v>
      </c>
      <c r="C29" s="73" t="s">
        <v>201</v>
      </c>
      <c r="E29" s="75">
        <v>225507</v>
      </c>
      <c r="G29" s="75">
        <v>218722</v>
      </c>
      <c r="I29" s="75">
        <v>217235</v>
      </c>
      <c r="K29" s="75">
        <v>219411</v>
      </c>
      <c r="M29" s="75">
        <v>372231</v>
      </c>
    </row>
    <row r="30" spans="1:13">
      <c r="A30" s="73" t="s">
        <v>20</v>
      </c>
      <c r="B30" s="79" t="s">
        <v>634</v>
      </c>
      <c r="C30" s="73" t="s">
        <v>829</v>
      </c>
      <c r="E30" s="75">
        <v>19071</v>
      </c>
      <c r="G30" s="75">
        <v>23413</v>
      </c>
      <c r="I30" s="75">
        <v>7336</v>
      </c>
      <c r="K30" s="75">
        <v>9058</v>
      </c>
      <c r="M30" s="75">
        <v>21115</v>
      </c>
    </row>
    <row r="31" spans="1:13">
      <c r="A31" s="73" t="s">
        <v>20</v>
      </c>
      <c r="B31" s="79" t="s">
        <v>634</v>
      </c>
      <c r="C31" s="73" t="s">
        <v>201</v>
      </c>
      <c r="E31" s="75">
        <v>7020</v>
      </c>
      <c r="G31" s="75">
        <v>7632</v>
      </c>
      <c r="I31" s="75">
        <v>2981</v>
      </c>
      <c r="K31" s="75">
        <v>2971</v>
      </c>
      <c r="M31" s="75">
        <v>3227</v>
      </c>
    </row>
    <row r="32" spans="1:13">
      <c r="A32" s="73" t="s">
        <v>20</v>
      </c>
      <c r="B32" s="79" t="s">
        <v>635</v>
      </c>
      <c r="C32" s="73" t="s">
        <v>829</v>
      </c>
      <c r="E32" s="73">
        <v>213</v>
      </c>
      <c r="G32" s="75">
        <v>3191</v>
      </c>
      <c r="I32" s="73">
        <v>45</v>
      </c>
      <c r="K32" s="73">
        <v>1</v>
      </c>
      <c r="M32" s="73">
        <v>23</v>
      </c>
    </row>
    <row r="33" spans="1:13">
      <c r="A33" s="73" t="s">
        <v>20</v>
      </c>
      <c r="B33" s="79" t="s">
        <v>635</v>
      </c>
      <c r="C33" s="73" t="s">
        <v>201</v>
      </c>
      <c r="E33" s="73">
        <v>79</v>
      </c>
      <c r="G33" s="75">
        <v>4020</v>
      </c>
      <c r="I33" s="73">
        <v>17</v>
      </c>
      <c r="K33" s="73">
        <v>2</v>
      </c>
      <c r="M33" s="73">
        <v>1</v>
      </c>
    </row>
    <row r="34" spans="1:13">
      <c r="A34" s="73" t="s">
        <v>20</v>
      </c>
      <c r="B34" s="79" t="s">
        <v>636</v>
      </c>
      <c r="C34" s="73" t="s">
        <v>829</v>
      </c>
    </row>
    <row r="35" spans="1:13">
      <c r="A35" s="73" t="s">
        <v>20</v>
      </c>
      <c r="B35" s="79" t="s">
        <v>636</v>
      </c>
      <c r="C35" s="73" t="s">
        <v>201</v>
      </c>
    </row>
    <row r="36" spans="1:13">
      <c r="A36" s="73" t="s">
        <v>20</v>
      </c>
      <c r="B36" s="79" t="s">
        <v>637</v>
      </c>
      <c r="C36" s="73" t="s">
        <v>829</v>
      </c>
      <c r="E36" s="75">
        <v>22947</v>
      </c>
      <c r="G36" s="75">
        <v>19879</v>
      </c>
      <c r="I36" s="75">
        <v>10483</v>
      </c>
      <c r="K36" s="75">
        <v>5384</v>
      </c>
      <c r="M36" s="75">
        <v>11592</v>
      </c>
    </row>
    <row r="37" spans="1:13">
      <c r="A37" s="73" t="s">
        <v>20</v>
      </c>
      <c r="B37" s="79" t="s">
        <v>637</v>
      </c>
      <c r="C37" s="73" t="s">
        <v>201</v>
      </c>
      <c r="E37" s="75">
        <v>2064</v>
      </c>
      <c r="G37" s="75">
        <v>1856</v>
      </c>
      <c r="I37" s="73">
        <v>935</v>
      </c>
      <c r="K37" s="73">
        <v>436</v>
      </c>
      <c r="M37" s="73">
        <v>742</v>
      </c>
    </row>
    <row r="38" spans="1:13">
      <c r="A38" s="73" t="s">
        <v>20</v>
      </c>
      <c r="B38" s="79" t="s">
        <v>638</v>
      </c>
      <c r="C38" s="73" t="s">
        <v>829</v>
      </c>
      <c r="E38" s="75">
        <v>334808</v>
      </c>
      <c r="G38" s="75">
        <v>395658</v>
      </c>
      <c r="I38" s="75">
        <v>273551</v>
      </c>
      <c r="K38" s="75">
        <v>265200</v>
      </c>
      <c r="M38" s="75">
        <v>396579</v>
      </c>
    </row>
    <row r="39" spans="1:13">
      <c r="A39" s="73" t="s">
        <v>20</v>
      </c>
      <c r="B39" s="79" t="s">
        <v>638</v>
      </c>
      <c r="C39" s="73" t="s">
        <v>201</v>
      </c>
      <c r="E39" s="75">
        <v>7143</v>
      </c>
      <c r="G39" s="75">
        <v>7755</v>
      </c>
      <c r="I39" s="75">
        <v>5313</v>
      </c>
      <c r="K39" s="75">
        <v>4609</v>
      </c>
      <c r="M39" s="75">
        <v>6589</v>
      </c>
    </row>
    <row r="40" spans="1:13">
      <c r="A40" s="76"/>
      <c r="B40" s="81"/>
      <c r="C40" s="76"/>
      <c r="D40" s="76"/>
      <c r="E40" s="76"/>
      <c r="F40" s="76"/>
      <c r="G40" s="76"/>
      <c r="H40" s="76"/>
      <c r="I40" s="76"/>
      <c r="J40" s="76"/>
      <c r="K40" s="76"/>
      <c r="L40" s="76"/>
      <c r="M40" s="76"/>
    </row>
    <row r="42" spans="1:13">
      <c r="A42" s="73" t="s">
        <v>14</v>
      </c>
      <c r="B42" s="79" t="s">
        <v>15</v>
      </c>
    </row>
    <row r="43" spans="1:13">
      <c r="A43" s="73" t="s">
        <v>214</v>
      </c>
      <c r="B43" s="79" t="s">
        <v>334</v>
      </c>
    </row>
    <row r="44" spans="1:13">
      <c r="A44" s="73" t="s">
        <v>215</v>
      </c>
      <c r="B44" s="79" t="s">
        <v>639</v>
      </c>
    </row>
    <row r="45" spans="1:13">
      <c r="A45" s="73" t="s">
        <v>217</v>
      </c>
      <c r="B45" s="79" t="s">
        <v>150</v>
      </c>
    </row>
    <row r="48" spans="1:13">
      <c r="A48" s="77" t="str">
        <f>HYPERLINK("[UKMY 2023 PrintableV1.1 12_09_24.xlsx]Contents!A1","Return to contents page")</f>
        <v>Return to contents page</v>
      </c>
    </row>
    <row r="64" spans="5:5">
      <c r="E64" s="78"/>
    </row>
  </sheetData>
  <sortState xmlns:xlrd2="http://schemas.microsoft.com/office/spreadsheetml/2017/richdata2" ref="A3:M39">
    <sortCondition ref="A5:A39"/>
    <sortCondition ref="B5:B39"/>
  </sortState>
  <pageMargins left="0.7" right="0.7" top="0.75" bottom="0.75" header="0.3" footer="0.3"/>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D189-4E0A-4915-A189-AFC52235775E}">
  <dimension ref="A1:M64"/>
  <sheetViews>
    <sheetView view="pageBreakPreview" zoomScaleNormal="100" zoomScaleSheetLayoutView="100" workbookViewId="0">
      <selection activeCell="B19" sqref="B19"/>
    </sheetView>
  </sheetViews>
  <sheetFormatPr defaultColWidth="9.1796875" defaultRowHeight="14"/>
  <cols>
    <col min="1" max="1" width="13.453125" style="73" customWidth="1"/>
    <col min="2" max="2" width="47.7265625" style="79" bestFit="1" customWidth="1"/>
    <col min="3" max="3" width="18.54296875" style="73" customWidth="1"/>
    <col min="4" max="4" width="3" style="73" bestFit="1" customWidth="1"/>
    <col min="5" max="5" width="7.26953125" style="73" bestFit="1" customWidth="1"/>
    <col min="6" max="6" width="3" style="73" bestFit="1" customWidth="1"/>
    <col min="7" max="7" width="7.26953125" style="73" bestFit="1" customWidth="1"/>
    <col min="8" max="8" width="3" style="73" bestFit="1" customWidth="1"/>
    <col min="9" max="9" width="7.26953125" style="73" bestFit="1" customWidth="1"/>
    <col min="10" max="10" width="3" style="73" bestFit="1" customWidth="1"/>
    <col min="11" max="11" width="7.26953125" style="73" bestFit="1" customWidth="1"/>
    <col min="12" max="12" width="3" style="73" bestFit="1" customWidth="1"/>
    <col min="13" max="13" width="7.26953125" style="73" bestFit="1" customWidth="1"/>
    <col min="14" max="16384" width="9.1796875" style="73"/>
  </cols>
  <sheetData>
    <row r="1" spans="1:13" ht="15.5">
      <c r="A1" s="72" t="s">
        <v>640</v>
      </c>
    </row>
    <row r="2" spans="1:13">
      <c r="A2" s="74" t="s">
        <v>670</v>
      </c>
      <c r="B2" s="80" t="s">
        <v>0</v>
      </c>
      <c r="C2" s="74" t="s">
        <v>669</v>
      </c>
      <c r="D2" s="74" t="s">
        <v>1</v>
      </c>
      <c r="E2" s="74">
        <v>2018</v>
      </c>
      <c r="F2" s="74" t="s">
        <v>1</v>
      </c>
      <c r="G2" s="74">
        <v>2019</v>
      </c>
      <c r="H2" s="74" t="s">
        <v>1</v>
      </c>
      <c r="I2" s="74">
        <v>2020</v>
      </c>
      <c r="J2" s="74" t="s">
        <v>1</v>
      </c>
      <c r="K2" s="74">
        <v>2021</v>
      </c>
      <c r="L2" s="74" t="s">
        <v>1</v>
      </c>
      <c r="M2" s="74">
        <v>2022</v>
      </c>
    </row>
    <row r="3" spans="1:13" ht="28">
      <c r="A3" s="73" t="s">
        <v>38</v>
      </c>
      <c r="B3" s="79" t="s">
        <v>44</v>
      </c>
      <c r="C3" s="79" t="s">
        <v>326</v>
      </c>
      <c r="D3" s="73" t="s">
        <v>221</v>
      </c>
      <c r="E3" s="75">
        <v>1240</v>
      </c>
      <c r="G3" s="73">
        <v>0</v>
      </c>
      <c r="I3" s="73">
        <v>0</v>
      </c>
      <c r="K3" s="73">
        <v>0</v>
      </c>
      <c r="M3" s="73">
        <v>0</v>
      </c>
    </row>
    <row r="4" spans="1:13">
      <c r="E4" s="75"/>
    </row>
    <row r="5" spans="1:13" ht="28">
      <c r="A5" s="73" t="s">
        <v>19</v>
      </c>
      <c r="B5" s="79" t="s">
        <v>641</v>
      </c>
      <c r="C5" s="73" t="s">
        <v>829</v>
      </c>
      <c r="D5" s="73" t="s">
        <v>209</v>
      </c>
      <c r="E5" s="75">
        <v>1835</v>
      </c>
      <c r="F5" s="73" t="s">
        <v>209</v>
      </c>
      <c r="G5" s="73">
        <v>895</v>
      </c>
      <c r="H5" s="73" t="s">
        <v>209</v>
      </c>
      <c r="I5" s="73">
        <v>810</v>
      </c>
      <c r="J5" s="73" t="s">
        <v>209</v>
      </c>
      <c r="K5" s="73">
        <v>685</v>
      </c>
      <c r="L5" s="73" t="s">
        <v>209</v>
      </c>
      <c r="M5" s="75">
        <v>1350</v>
      </c>
    </row>
    <row r="6" spans="1:13" ht="28">
      <c r="A6" s="73" t="s">
        <v>19</v>
      </c>
      <c r="B6" s="79" t="s">
        <v>641</v>
      </c>
      <c r="C6" s="73" t="s">
        <v>201</v>
      </c>
      <c r="D6" s="73" t="s">
        <v>209</v>
      </c>
      <c r="E6" s="73">
        <v>82</v>
      </c>
      <c r="F6" s="73" t="s">
        <v>209</v>
      </c>
      <c r="G6" s="73">
        <v>47</v>
      </c>
      <c r="H6" s="73" t="s">
        <v>209</v>
      </c>
      <c r="I6" s="73">
        <v>51</v>
      </c>
      <c r="J6" s="73" t="s">
        <v>209</v>
      </c>
      <c r="K6" s="73">
        <v>35</v>
      </c>
      <c r="L6" s="73" t="s">
        <v>209</v>
      </c>
      <c r="M6" s="73">
        <v>51</v>
      </c>
    </row>
    <row r="7" spans="1:13">
      <c r="A7" s="73" t="s">
        <v>19</v>
      </c>
      <c r="B7" s="79" t="s">
        <v>642</v>
      </c>
      <c r="C7" s="73" t="s">
        <v>829</v>
      </c>
      <c r="E7" s="75">
        <v>53191</v>
      </c>
      <c r="G7" s="75">
        <v>17738</v>
      </c>
      <c r="I7" s="75">
        <v>4499</v>
      </c>
      <c r="K7" s="73">
        <v>866</v>
      </c>
      <c r="M7" s="75">
        <v>2770</v>
      </c>
    </row>
    <row r="8" spans="1:13">
      <c r="A8" s="73" t="s">
        <v>19</v>
      </c>
      <c r="B8" s="79" t="s">
        <v>642</v>
      </c>
      <c r="C8" s="73" t="s">
        <v>201</v>
      </c>
      <c r="E8" s="75">
        <v>1475</v>
      </c>
      <c r="G8" s="73">
        <v>540</v>
      </c>
      <c r="I8" s="73">
        <v>126</v>
      </c>
      <c r="K8" s="73">
        <v>25</v>
      </c>
      <c r="M8" s="73">
        <v>67</v>
      </c>
    </row>
    <row r="9" spans="1:13">
      <c r="A9" s="73" t="s">
        <v>19</v>
      </c>
      <c r="B9" s="79" t="s">
        <v>643</v>
      </c>
      <c r="C9" s="73" t="s">
        <v>829</v>
      </c>
      <c r="E9" s="73">
        <v>225</v>
      </c>
      <c r="G9" s="73">
        <v>135</v>
      </c>
      <c r="I9" s="73">
        <v>116</v>
      </c>
      <c r="K9" s="73">
        <v>40</v>
      </c>
      <c r="M9" s="73">
        <v>89</v>
      </c>
    </row>
    <row r="10" spans="1:13">
      <c r="A10" s="73" t="s">
        <v>19</v>
      </c>
      <c r="B10" s="79" t="s">
        <v>643</v>
      </c>
      <c r="C10" s="73" t="s">
        <v>201</v>
      </c>
      <c r="E10" s="73">
        <v>2</v>
      </c>
      <c r="G10" s="73">
        <v>1</v>
      </c>
      <c r="I10" s="73">
        <v>1</v>
      </c>
      <c r="K10" s="73">
        <v>0</v>
      </c>
      <c r="M10" s="73">
        <v>1</v>
      </c>
    </row>
    <row r="11" spans="1:13">
      <c r="A11" s="73" t="s">
        <v>19</v>
      </c>
      <c r="B11" s="79" t="s">
        <v>644</v>
      </c>
      <c r="C11" s="73" t="s">
        <v>829</v>
      </c>
      <c r="E11" s="75">
        <v>26222</v>
      </c>
      <c r="G11" s="75">
        <v>17414</v>
      </c>
      <c r="I11" s="75">
        <v>12533</v>
      </c>
      <c r="K11" s="75">
        <v>14284</v>
      </c>
      <c r="M11" s="75">
        <v>21325</v>
      </c>
    </row>
    <row r="12" spans="1:13">
      <c r="A12" s="73" t="s">
        <v>19</v>
      </c>
      <c r="B12" s="79" t="s">
        <v>644</v>
      </c>
      <c r="C12" s="73" t="s">
        <v>201</v>
      </c>
      <c r="E12" s="75">
        <v>1659</v>
      </c>
      <c r="G12" s="75">
        <v>1191</v>
      </c>
      <c r="I12" s="73">
        <v>943</v>
      </c>
      <c r="K12" s="73">
        <v>812</v>
      </c>
      <c r="M12" s="73">
        <v>936</v>
      </c>
    </row>
    <row r="13" spans="1:13">
      <c r="A13" s="73" t="s">
        <v>19</v>
      </c>
      <c r="B13" s="79" t="s">
        <v>645</v>
      </c>
      <c r="C13" s="73" t="s">
        <v>829</v>
      </c>
      <c r="E13" s="73">
        <v>155</v>
      </c>
      <c r="G13" s="73">
        <v>313</v>
      </c>
      <c r="I13" s="73">
        <v>153</v>
      </c>
      <c r="K13" s="73">
        <v>153</v>
      </c>
      <c r="M13" s="73">
        <v>489</v>
      </c>
    </row>
    <row r="14" spans="1:13">
      <c r="A14" s="73" t="s">
        <v>19</v>
      </c>
      <c r="B14" s="79" t="s">
        <v>645</v>
      </c>
      <c r="C14" s="73" t="s">
        <v>201</v>
      </c>
      <c r="E14" s="73">
        <v>9</v>
      </c>
      <c r="G14" s="73">
        <v>10</v>
      </c>
      <c r="I14" s="73">
        <v>5</v>
      </c>
      <c r="K14" s="73">
        <v>5</v>
      </c>
      <c r="M14" s="73">
        <v>18</v>
      </c>
    </row>
    <row r="15" spans="1:13">
      <c r="A15" s="73" t="s">
        <v>19</v>
      </c>
      <c r="B15" s="79" t="s">
        <v>646</v>
      </c>
      <c r="C15" s="73" t="s">
        <v>829</v>
      </c>
      <c r="E15" s="73">
        <v>331</v>
      </c>
      <c r="G15" s="73">
        <v>873</v>
      </c>
      <c r="I15" s="75">
        <v>1047</v>
      </c>
      <c r="K15" s="73">
        <v>663</v>
      </c>
      <c r="M15" s="73">
        <v>886</v>
      </c>
    </row>
    <row r="16" spans="1:13">
      <c r="A16" s="73" t="s">
        <v>19</v>
      </c>
      <c r="B16" s="79" t="s">
        <v>646</v>
      </c>
      <c r="C16" s="73" t="s">
        <v>201</v>
      </c>
      <c r="E16" s="73">
        <v>9</v>
      </c>
      <c r="G16" s="73">
        <v>18</v>
      </c>
      <c r="I16" s="73">
        <v>48</v>
      </c>
      <c r="K16" s="73">
        <v>17</v>
      </c>
      <c r="M16" s="73">
        <v>24</v>
      </c>
    </row>
    <row r="17" spans="1:13">
      <c r="A17" s="73" t="s">
        <v>19</v>
      </c>
      <c r="B17" s="79" t="s">
        <v>647</v>
      </c>
      <c r="C17" s="73" t="s">
        <v>829</v>
      </c>
      <c r="E17" s="75">
        <v>9171</v>
      </c>
      <c r="G17" s="75">
        <v>6407</v>
      </c>
      <c r="I17" s="75">
        <v>6643</v>
      </c>
      <c r="K17" s="75">
        <v>8191</v>
      </c>
      <c r="M17" s="75">
        <v>12464</v>
      </c>
    </row>
    <row r="18" spans="1:13">
      <c r="A18" s="73" t="s">
        <v>19</v>
      </c>
      <c r="B18" s="79" t="s">
        <v>647</v>
      </c>
      <c r="C18" s="73" t="s">
        <v>201</v>
      </c>
      <c r="E18" s="73">
        <v>275</v>
      </c>
      <c r="G18" s="73">
        <v>214</v>
      </c>
      <c r="I18" s="73">
        <v>236</v>
      </c>
      <c r="K18" s="73">
        <v>253</v>
      </c>
      <c r="M18" s="73">
        <v>303</v>
      </c>
    </row>
    <row r="19" spans="1:13">
      <c r="A19" s="73" t="s">
        <v>19</v>
      </c>
      <c r="B19" s="79" t="s">
        <v>648</v>
      </c>
      <c r="C19" s="73" t="s">
        <v>829</v>
      </c>
      <c r="E19" s="75">
        <v>5744</v>
      </c>
      <c r="G19" s="75">
        <v>5149</v>
      </c>
      <c r="I19" s="75">
        <v>4457</v>
      </c>
      <c r="K19" s="75">
        <v>4632</v>
      </c>
      <c r="M19" s="75">
        <v>7954</v>
      </c>
    </row>
    <row r="20" spans="1:13">
      <c r="A20" s="73" t="s">
        <v>19</v>
      </c>
      <c r="B20" s="79" t="s">
        <v>648</v>
      </c>
      <c r="C20" s="73" t="s">
        <v>201</v>
      </c>
      <c r="E20" s="73">
        <v>59</v>
      </c>
      <c r="G20" s="73">
        <v>99</v>
      </c>
      <c r="I20" s="73">
        <v>41</v>
      </c>
      <c r="K20" s="73">
        <v>201</v>
      </c>
      <c r="M20" s="73">
        <v>94</v>
      </c>
    </row>
    <row r="22" spans="1:13" ht="28">
      <c r="A22" s="73" t="s">
        <v>20</v>
      </c>
      <c r="B22" s="79" t="s">
        <v>641</v>
      </c>
      <c r="C22" s="73" t="s">
        <v>829</v>
      </c>
      <c r="D22" s="73" t="s">
        <v>209</v>
      </c>
      <c r="E22" s="73">
        <v>768</v>
      </c>
      <c r="F22" s="73" t="s">
        <v>209</v>
      </c>
      <c r="G22" s="73">
        <v>180</v>
      </c>
      <c r="H22" s="73" t="s">
        <v>209</v>
      </c>
      <c r="I22" s="73">
        <v>9</v>
      </c>
      <c r="J22" s="73" t="s">
        <v>209</v>
      </c>
      <c r="K22" s="73">
        <v>6</v>
      </c>
      <c r="L22" s="73" t="s">
        <v>209</v>
      </c>
    </row>
    <row r="23" spans="1:13" ht="28">
      <c r="A23" s="73" t="s">
        <v>20</v>
      </c>
      <c r="B23" s="79" t="s">
        <v>641</v>
      </c>
      <c r="C23" s="73" t="s">
        <v>201</v>
      </c>
      <c r="D23" s="73" t="s">
        <v>209</v>
      </c>
      <c r="E23" s="73">
        <v>118</v>
      </c>
      <c r="F23" s="73" t="s">
        <v>209</v>
      </c>
      <c r="G23" s="73">
        <v>5</v>
      </c>
      <c r="H23" s="73" t="s">
        <v>209</v>
      </c>
      <c r="I23" s="73">
        <v>0</v>
      </c>
      <c r="J23" s="73" t="s">
        <v>209</v>
      </c>
      <c r="K23" s="73">
        <v>0</v>
      </c>
      <c r="L23" s="73" t="s">
        <v>209</v>
      </c>
    </row>
    <row r="24" spans="1:13">
      <c r="A24" s="73" t="s">
        <v>20</v>
      </c>
      <c r="B24" s="79" t="s">
        <v>642</v>
      </c>
      <c r="C24" s="73" t="s">
        <v>829</v>
      </c>
      <c r="E24" s="75">
        <v>3571</v>
      </c>
      <c r="G24" s="75">
        <v>5993</v>
      </c>
      <c r="I24" s="75">
        <v>1974</v>
      </c>
      <c r="K24" s="75">
        <v>1142</v>
      </c>
      <c r="M24" s="75">
        <v>1818</v>
      </c>
    </row>
    <row r="25" spans="1:13">
      <c r="A25" s="73" t="s">
        <v>20</v>
      </c>
      <c r="B25" s="79" t="s">
        <v>642</v>
      </c>
      <c r="C25" s="73" t="s">
        <v>201</v>
      </c>
      <c r="E25" s="73">
        <v>592</v>
      </c>
      <c r="G25" s="73">
        <v>147</v>
      </c>
      <c r="I25" s="73">
        <v>22</v>
      </c>
      <c r="K25" s="73">
        <v>19</v>
      </c>
      <c r="M25" s="73">
        <v>105</v>
      </c>
    </row>
    <row r="26" spans="1:13">
      <c r="A26" s="73" t="s">
        <v>20</v>
      </c>
      <c r="B26" s="79" t="s">
        <v>643</v>
      </c>
      <c r="C26" s="73" t="s">
        <v>829</v>
      </c>
      <c r="E26" s="73">
        <v>26</v>
      </c>
      <c r="G26" s="73">
        <v>69</v>
      </c>
      <c r="I26" s="73">
        <v>73</v>
      </c>
      <c r="K26" s="73">
        <v>153</v>
      </c>
      <c r="M26" s="73">
        <v>215</v>
      </c>
    </row>
    <row r="27" spans="1:13">
      <c r="A27" s="73" t="s">
        <v>20</v>
      </c>
      <c r="B27" s="79" t="s">
        <v>643</v>
      </c>
      <c r="C27" s="73" t="s">
        <v>201</v>
      </c>
      <c r="E27" s="73">
        <v>2</v>
      </c>
      <c r="G27" s="73">
        <v>2</v>
      </c>
      <c r="I27" s="73">
        <v>1</v>
      </c>
      <c r="K27" s="73">
        <v>3</v>
      </c>
      <c r="M27" s="73">
        <v>2</v>
      </c>
    </row>
    <row r="28" spans="1:13">
      <c r="A28" s="73" t="s">
        <v>20</v>
      </c>
      <c r="B28" s="79" t="s">
        <v>644</v>
      </c>
      <c r="C28" s="73" t="s">
        <v>829</v>
      </c>
      <c r="E28" s="75">
        <v>23526</v>
      </c>
      <c r="G28" s="75">
        <v>18281</v>
      </c>
      <c r="I28" s="75">
        <v>12373</v>
      </c>
      <c r="K28" s="75">
        <v>22189</v>
      </c>
      <c r="M28" s="75">
        <v>26846</v>
      </c>
    </row>
    <row r="29" spans="1:13">
      <c r="A29" s="73" t="s">
        <v>20</v>
      </c>
      <c r="B29" s="79" t="s">
        <v>644</v>
      </c>
      <c r="C29" s="73" t="s">
        <v>201</v>
      </c>
      <c r="E29" s="75">
        <v>1674</v>
      </c>
      <c r="G29" s="75">
        <v>1806</v>
      </c>
      <c r="I29" s="75">
        <v>1370</v>
      </c>
      <c r="K29" s="75">
        <v>1463</v>
      </c>
      <c r="M29" s="75">
        <v>3417</v>
      </c>
    </row>
    <row r="30" spans="1:13">
      <c r="A30" s="73" t="s">
        <v>20</v>
      </c>
      <c r="B30" s="79" t="s">
        <v>645</v>
      </c>
      <c r="C30" s="73" t="s">
        <v>829</v>
      </c>
      <c r="E30" s="73">
        <v>14</v>
      </c>
      <c r="G30" s="73">
        <v>4</v>
      </c>
      <c r="I30" s="73">
        <v>19</v>
      </c>
      <c r="K30" s="73">
        <v>1</v>
      </c>
      <c r="M30" s="73">
        <v>9</v>
      </c>
    </row>
    <row r="31" spans="1:13">
      <c r="A31" s="73" t="s">
        <v>20</v>
      </c>
      <c r="B31" s="79" t="s">
        <v>645</v>
      </c>
      <c r="C31" s="73" t="s">
        <v>201</v>
      </c>
      <c r="E31" s="73">
        <v>0</v>
      </c>
      <c r="G31" s="73">
        <v>0</v>
      </c>
      <c r="I31" s="73">
        <v>0</v>
      </c>
      <c r="K31" s="73">
        <v>0</v>
      </c>
      <c r="M31" s="73">
        <v>0</v>
      </c>
    </row>
    <row r="32" spans="1:13">
      <c r="A32" s="73" t="s">
        <v>20</v>
      </c>
      <c r="B32" s="79" t="s">
        <v>646</v>
      </c>
      <c r="C32" s="73" t="s">
        <v>829</v>
      </c>
    </row>
    <row r="33" spans="1:13">
      <c r="A33" s="73" t="s">
        <v>20</v>
      </c>
      <c r="B33" s="79" t="s">
        <v>646</v>
      </c>
      <c r="C33" s="73" t="s">
        <v>201</v>
      </c>
    </row>
    <row r="34" spans="1:13">
      <c r="A34" s="73" t="s">
        <v>20</v>
      </c>
      <c r="B34" s="79" t="s">
        <v>647</v>
      </c>
      <c r="C34" s="73" t="s">
        <v>829</v>
      </c>
      <c r="E34" s="75">
        <v>8236</v>
      </c>
      <c r="G34" s="75">
        <v>7758</v>
      </c>
      <c r="I34" s="75">
        <v>3488</v>
      </c>
      <c r="K34" s="75">
        <v>4144</v>
      </c>
      <c r="M34" s="75">
        <v>8148</v>
      </c>
    </row>
    <row r="35" spans="1:13">
      <c r="A35" s="73" t="s">
        <v>20</v>
      </c>
      <c r="B35" s="79" t="s">
        <v>647</v>
      </c>
      <c r="C35" s="73" t="s">
        <v>201</v>
      </c>
      <c r="E35" s="73">
        <v>103</v>
      </c>
      <c r="G35" s="73">
        <v>118</v>
      </c>
      <c r="I35" s="73">
        <v>56</v>
      </c>
      <c r="K35" s="73">
        <v>85</v>
      </c>
      <c r="M35" s="73">
        <v>163</v>
      </c>
    </row>
    <row r="36" spans="1:13">
      <c r="A36" s="73" t="s">
        <v>20</v>
      </c>
      <c r="B36" s="79" t="s">
        <v>648</v>
      </c>
      <c r="C36" s="73" t="s">
        <v>829</v>
      </c>
      <c r="E36" s="75">
        <v>6418</v>
      </c>
      <c r="G36" s="75">
        <v>5994</v>
      </c>
      <c r="I36" s="75">
        <v>4988</v>
      </c>
      <c r="K36" s="75">
        <v>4682</v>
      </c>
      <c r="M36" s="75">
        <v>5625</v>
      </c>
    </row>
    <row r="37" spans="1:13">
      <c r="A37" s="73" t="s">
        <v>20</v>
      </c>
      <c r="B37" s="79" t="s">
        <v>648</v>
      </c>
      <c r="C37" s="73" t="s">
        <v>201</v>
      </c>
      <c r="E37" s="73">
        <v>77</v>
      </c>
      <c r="G37" s="73">
        <v>73</v>
      </c>
      <c r="I37" s="73">
        <v>58</v>
      </c>
      <c r="K37" s="73">
        <v>380</v>
      </c>
      <c r="M37" s="73">
        <v>63</v>
      </c>
    </row>
    <row r="38" spans="1:13">
      <c r="A38" s="76"/>
      <c r="B38" s="81"/>
      <c r="C38" s="76"/>
      <c r="D38" s="76"/>
      <c r="E38" s="76"/>
      <c r="F38" s="76"/>
      <c r="G38" s="76"/>
      <c r="H38" s="76"/>
      <c r="I38" s="76"/>
      <c r="J38" s="76"/>
      <c r="K38" s="76"/>
      <c r="L38" s="76"/>
      <c r="M38" s="76"/>
    </row>
    <row r="40" spans="1:13">
      <c r="A40" s="73" t="s">
        <v>14</v>
      </c>
      <c r="B40" s="79" t="s">
        <v>15</v>
      </c>
    </row>
    <row r="41" spans="1:13">
      <c r="A41" s="73" t="s">
        <v>221</v>
      </c>
      <c r="B41" s="79" t="s">
        <v>297</v>
      </c>
    </row>
    <row r="42" spans="1:13">
      <c r="A42" s="73" t="s">
        <v>215</v>
      </c>
      <c r="B42" s="79" t="s">
        <v>649</v>
      </c>
    </row>
    <row r="45" spans="1:13">
      <c r="A45" s="77" t="str">
        <f>HYPERLINK("[UKMY 2023 PrintableV1.1 12_09_24.xlsx]Contents!A1","Return to contents page")</f>
        <v>Return to contents page</v>
      </c>
    </row>
    <row r="64" spans="5:5">
      <c r="E64" s="78"/>
    </row>
  </sheetData>
  <sortState xmlns:xlrd2="http://schemas.microsoft.com/office/spreadsheetml/2017/richdata2" ref="A3:M37">
    <sortCondition descending="1" ref="A3:A37"/>
    <sortCondition ref="B3:B37"/>
  </sortState>
  <pageMargins left="0.7" right="0.7" top="0.75" bottom="0.75" header="0.3" footer="0.3"/>
  <pageSetup paperSize="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4D6F-E6A3-4F60-A8C2-8C1AA0DF729F}">
  <dimension ref="A1:M64"/>
  <sheetViews>
    <sheetView view="pageBreakPreview" zoomScaleNormal="100" zoomScaleSheetLayoutView="100" workbookViewId="0">
      <selection activeCell="E13" sqref="E13"/>
    </sheetView>
  </sheetViews>
  <sheetFormatPr defaultColWidth="9.1796875" defaultRowHeight="14"/>
  <cols>
    <col min="1" max="1" width="22.7265625" style="73" customWidth="1"/>
    <col min="2" max="2" width="26.26953125" style="73" bestFit="1" customWidth="1"/>
    <col min="3" max="3" width="15.26953125" style="73" bestFit="1" customWidth="1"/>
    <col min="4" max="4" width="3.26953125" style="73" bestFit="1" customWidth="1"/>
    <col min="5" max="5" width="7.26953125" style="73" bestFit="1" customWidth="1"/>
    <col min="6" max="6" width="3.26953125" style="73" bestFit="1" customWidth="1"/>
    <col min="7" max="7" width="7.26953125" style="73" bestFit="1" customWidth="1"/>
    <col min="8" max="8" width="3.26953125" style="73" bestFit="1" customWidth="1"/>
    <col min="9" max="9" width="7.26953125" style="73" bestFit="1" customWidth="1"/>
    <col min="10" max="10" width="3.26953125" style="73" bestFit="1" customWidth="1"/>
    <col min="11" max="11" width="7.26953125" style="73" bestFit="1" customWidth="1"/>
    <col min="12" max="12" width="3.26953125" style="73" bestFit="1" customWidth="1"/>
    <col min="13" max="13" width="7.26953125" style="73" bestFit="1" customWidth="1"/>
    <col min="14" max="16384" width="9.1796875" style="73"/>
  </cols>
  <sheetData>
    <row r="1" spans="1:13" ht="15.5">
      <c r="A1" s="72" t="s">
        <v>654</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655</v>
      </c>
      <c r="C3" s="73" t="s">
        <v>829</v>
      </c>
      <c r="D3" s="73" t="s">
        <v>213</v>
      </c>
      <c r="E3" s="75">
        <v>6343</v>
      </c>
      <c r="F3" s="73" t="s">
        <v>213</v>
      </c>
      <c r="G3" s="75">
        <v>6397</v>
      </c>
      <c r="H3" s="73" t="s">
        <v>213</v>
      </c>
      <c r="I3" s="75">
        <v>3887</v>
      </c>
      <c r="J3" s="73" t="s">
        <v>213</v>
      </c>
      <c r="K3" s="75">
        <v>4289</v>
      </c>
      <c r="L3" s="73" t="s">
        <v>213</v>
      </c>
      <c r="M3" s="75">
        <v>6008</v>
      </c>
    </row>
    <row r="4" spans="1:13">
      <c r="A4" s="73" t="s">
        <v>19</v>
      </c>
      <c r="B4" s="73" t="s">
        <v>655</v>
      </c>
      <c r="C4" s="73" t="s">
        <v>201</v>
      </c>
      <c r="D4" s="73" t="s">
        <v>213</v>
      </c>
      <c r="E4" s="75">
        <v>40402</v>
      </c>
      <c r="F4" s="73" t="s">
        <v>213</v>
      </c>
      <c r="G4" s="75">
        <v>34763</v>
      </c>
      <c r="H4" s="73" t="s">
        <v>213</v>
      </c>
      <c r="I4" s="75">
        <v>19561</v>
      </c>
      <c r="J4" s="73" t="s">
        <v>213</v>
      </c>
      <c r="K4" s="75">
        <v>19321</v>
      </c>
      <c r="L4" s="73" t="s">
        <v>213</v>
      </c>
      <c r="M4" s="75">
        <v>20482</v>
      </c>
    </row>
    <row r="6" spans="1:13">
      <c r="A6" s="73" t="s">
        <v>20</v>
      </c>
      <c r="B6" s="73" t="s">
        <v>655</v>
      </c>
      <c r="C6" s="73" t="s">
        <v>829</v>
      </c>
      <c r="D6" s="73" t="s">
        <v>213</v>
      </c>
      <c r="E6" s="73">
        <v>456</v>
      </c>
      <c r="F6" s="73" t="s">
        <v>213</v>
      </c>
      <c r="G6" s="73">
        <v>497</v>
      </c>
      <c r="H6" s="73" t="s">
        <v>213</v>
      </c>
      <c r="I6" s="73">
        <v>522</v>
      </c>
      <c r="J6" s="73" t="s">
        <v>213</v>
      </c>
      <c r="K6" s="73">
        <v>569</v>
      </c>
      <c r="L6" s="73" t="s">
        <v>213</v>
      </c>
      <c r="M6" s="73">
        <v>323</v>
      </c>
    </row>
    <row r="7" spans="1:13">
      <c r="A7" s="73" t="s">
        <v>20</v>
      </c>
      <c r="B7" s="73" t="s">
        <v>655</v>
      </c>
      <c r="C7" s="73" t="s">
        <v>201</v>
      </c>
      <c r="D7" s="73" t="s">
        <v>213</v>
      </c>
      <c r="E7" s="73">
        <v>831</v>
      </c>
      <c r="F7" s="73" t="s">
        <v>213</v>
      </c>
      <c r="G7" s="73">
        <v>682</v>
      </c>
      <c r="H7" s="73" t="s">
        <v>213</v>
      </c>
      <c r="I7" s="73">
        <v>672</v>
      </c>
      <c r="J7" s="73" t="s">
        <v>213</v>
      </c>
      <c r="K7" s="75">
        <v>1039</v>
      </c>
      <c r="L7" s="73" t="s">
        <v>213</v>
      </c>
      <c r="M7" s="73">
        <v>836</v>
      </c>
    </row>
    <row r="8" spans="1:13">
      <c r="A8" s="76"/>
      <c r="B8" s="76"/>
      <c r="C8" s="76"/>
      <c r="D8" s="76"/>
      <c r="E8" s="76"/>
      <c r="F8" s="76"/>
      <c r="G8" s="76"/>
      <c r="H8" s="76"/>
      <c r="I8" s="76"/>
      <c r="J8" s="76"/>
      <c r="K8" s="76"/>
      <c r="L8" s="76"/>
      <c r="M8" s="76"/>
    </row>
    <row r="10" spans="1:13">
      <c r="A10" s="73" t="s">
        <v>14</v>
      </c>
      <c r="B10" s="73" t="s">
        <v>15</v>
      </c>
    </row>
    <row r="11" spans="1:13">
      <c r="A11" s="73" t="s">
        <v>217</v>
      </c>
      <c r="B11" s="73" t="s">
        <v>809</v>
      </c>
    </row>
    <row r="14" spans="1:13">
      <c r="A14"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E720-D060-47AF-9A1D-9D94F188CC08}">
  <dimension ref="A1:M64"/>
  <sheetViews>
    <sheetView view="pageBreakPreview" zoomScaleNormal="100" zoomScaleSheetLayoutView="100" workbookViewId="0">
      <selection activeCell="B6" sqref="B6"/>
    </sheetView>
  </sheetViews>
  <sheetFormatPr defaultColWidth="9.1796875" defaultRowHeight="14"/>
  <cols>
    <col min="1" max="1" width="22" style="73" customWidth="1"/>
    <col min="2" max="2" width="41.54296875" style="73" bestFit="1" customWidth="1"/>
    <col min="3" max="3" width="15.26953125" style="73" bestFit="1" customWidth="1"/>
    <col min="4" max="4" width="2.1796875" style="73" bestFit="1" customWidth="1"/>
    <col min="5" max="5" width="7.26953125" style="73" bestFit="1" customWidth="1"/>
    <col min="6" max="6" width="2.1796875" style="73" bestFit="1" customWidth="1"/>
    <col min="7" max="7" width="7.26953125" style="73" bestFit="1" customWidth="1"/>
    <col min="8" max="8" width="2.1796875" style="73" bestFit="1" customWidth="1"/>
    <col min="9" max="9" width="6.1796875" style="73" bestFit="1" customWidth="1"/>
    <col min="10" max="10" width="2.1796875" style="73" bestFit="1" customWidth="1"/>
    <col min="11" max="11" width="6.1796875" style="73" bestFit="1" customWidth="1"/>
    <col min="12" max="12" width="2.1796875" style="73" bestFit="1" customWidth="1"/>
    <col min="13" max="13" width="6.1796875" style="73" bestFit="1" customWidth="1"/>
    <col min="14" max="16384" width="9.1796875" style="73"/>
  </cols>
  <sheetData>
    <row r="1" spans="1:13" ht="15.5">
      <c r="A1" s="72" t="s">
        <v>650</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651</v>
      </c>
      <c r="C3" s="73" t="s">
        <v>829</v>
      </c>
      <c r="E3" s="75">
        <v>14901</v>
      </c>
      <c r="G3" s="75">
        <v>5925</v>
      </c>
      <c r="I3" s="75">
        <v>2561</v>
      </c>
      <c r="K3" s="75">
        <v>1740</v>
      </c>
      <c r="M3" s="75">
        <v>3312</v>
      </c>
    </row>
    <row r="4" spans="1:13">
      <c r="A4" s="73" t="s">
        <v>19</v>
      </c>
      <c r="B4" s="73" t="s">
        <v>651</v>
      </c>
      <c r="C4" s="73" t="s">
        <v>201</v>
      </c>
      <c r="E4" s="75">
        <v>2236</v>
      </c>
      <c r="G4" s="73">
        <v>187</v>
      </c>
      <c r="I4" s="73">
        <v>160</v>
      </c>
      <c r="K4" s="73">
        <v>48</v>
      </c>
      <c r="M4" s="73">
        <v>138</v>
      </c>
    </row>
    <row r="5" spans="1:13">
      <c r="A5" s="73" t="s">
        <v>19</v>
      </c>
      <c r="B5" s="73" t="s">
        <v>652</v>
      </c>
      <c r="C5" s="73" t="s">
        <v>829</v>
      </c>
      <c r="E5" s="73">
        <v>180</v>
      </c>
      <c r="G5" s="73">
        <v>12</v>
      </c>
      <c r="I5" s="73">
        <v>292</v>
      </c>
      <c r="K5" s="73">
        <v>726</v>
      </c>
      <c r="M5" s="73">
        <v>165</v>
      </c>
    </row>
    <row r="6" spans="1:13">
      <c r="A6" s="73" t="s">
        <v>19</v>
      </c>
      <c r="B6" s="73" t="s">
        <v>652</v>
      </c>
      <c r="C6" s="73" t="s">
        <v>201</v>
      </c>
      <c r="E6" s="73">
        <v>3</v>
      </c>
      <c r="G6" s="73">
        <v>0</v>
      </c>
      <c r="I6" s="73">
        <v>33</v>
      </c>
      <c r="K6" s="73">
        <v>64</v>
      </c>
      <c r="M6" s="73">
        <v>11</v>
      </c>
    </row>
    <row r="7" spans="1:13">
      <c r="A7" s="73" t="s">
        <v>19</v>
      </c>
      <c r="B7" s="73" t="s">
        <v>653</v>
      </c>
      <c r="C7" s="73" t="s">
        <v>829</v>
      </c>
      <c r="E7" s="75">
        <v>7877</v>
      </c>
      <c r="G7" s="75">
        <v>10640</v>
      </c>
      <c r="I7" s="75">
        <v>2160</v>
      </c>
      <c r="K7" s="75">
        <v>3998</v>
      </c>
      <c r="M7" s="75">
        <v>7314</v>
      </c>
    </row>
    <row r="8" spans="1:13">
      <c r="A8" s="73" t="s">
        <v>19</v>
      </c>
      <c r="B8" s="73" t="s">
        <v>653</v>
      </c>
      <c r="C8" s="73" t="s">
        <v>201</v>
      </c>
      <c r="E8" s="73">
        <v>189</v>
      </c>
      <c r="G8" s="73">
        <v>241</v>
      </c>
      <c r="I8" s="73">
        <v>81</v>
      </c>
      <c r="K8" s="73">
        <v>150</v>
      </c>
      <c r="M8" s="73">
        <v>215</v>
      </c>
    </row>
    <row r="10" spans="1:13">
      <c r="A10" s="73" t="s">
        <v>20</v>
      </c>
      <c r="B10" s="73" t="s">
        <v>651</v>
      </c>
      <c r="C10" s="73" t="s">
        <v>829</v>
      </c>
      <c r="E10" s="73">
        <v>512</v>
      </c>
      <c r="G10" s="73">
        <v>280</v>
      </c>
      <c r="I10" s="73">
        <v>513</v>
      </c>
      <c r="K10" s="73">
        <v>91</v>
      </c>
      <c r="M10" s="73">
        <v>27</v>
      </c>
    </row>
    <row r="11" spans="1:13">
      <c r="A11" s="73" t="s">
        <v>20</v>
      </c>
      <c r="B11" s="73" t="s">
        <v>651</v>
      </c>
      <c r="C11" s="73" t="s">
        <v>201</v>
      </c>
      <c r="E11" s="73">
        <v>15</v>
      </c>
      <c r="G11" s="73">
        <v>11</v>
      </c>
      <c r="I11" s="73">
        <v>32</v>
      </c>
      <c r="K11" s="73">
        <v>5</v>
      </c>
      <c r="M11" s="73">
        <v>1</v>
      </c>
    </row>
    <row r="12" spans="1:13">
      <c r="A12" s="73" t="s">
        <v>20</v>
      </c>
      <c r="B12" s="73" t="s">
        <v>652</v>
      </c>
      <c r="C12" s="73" t="s">
        <v>829</v>
      </c>
      <c r="E12" s="73">
        <v>12</v>
      </c>
      <c r="G12" s="73">
        <v>14</v>
      </c>
      <c r="I12" s="73">
        <v>7</v>
      </c>
      <c r="K12" s="73">
        <v>19</v>
      </c>
      <c r="M12" s="73">
        <v>55</v>
      </c>
    </row>
    <row r="13" spans="1:13">
      <c r="A13" s="73" t="s">
        <v>20</v>
      </c>
      <c r="B13" s="73" t="s">
        <v>652</v>
      </c>
      <c r="C13" s="73" t="s">
        <v>201</v>
      </c>
      <c r="E13" s="73">
        <v>0</v>
      </c>
      <c r="G13" s="73">
        <v>0</v>
      </c>
      <c r="I13" s="73">
        <v>0</v>
      </c>
      <c r="K13" s="73">
        <v>0</v>
      </c>
      <c r="M13" s="73">
        <v>3</v>
      </c>
    </row>
    <row r="14" spans="1:13">
      <c r="A14" s="73" t="s">
        <v>20</v>
      </c>
      <c r="B14" s="73" t="s">
        <v>653</v>
      </c>
      <c r="C14" s="73" t="s">
        <v>829</v>
      </c>
      <c r="E14" s="75">
        <v>3853</v>
      </c>
      <c r="G14" s="75">
        <v>3512</v>
      </c>
      <c r="I14" s="73">
        <v>489</v>
      </c>
      <c r="K14" s="75">
        <v>1253</v>
      </c>
      <c r="M14" s="75">
        <v>2626</v>
      </c>
    </row>
    <row r="15" spans="1:13">
      <c r="A15" s="73" t="s">
        <v>20</v>
      </c>
      <c r="B15" s="73" t="s">
        <v>653</v>
      </c>
      <c r="C15" s="73" t="s">
        <v>201</v>
      </c>
      <c r="E15" s="73">
        <v>276</v>
      </c>
      <c r="G15" s="73">
        <v>120</v>
      </c>
      <c r="I15" s="73">
        <v>14</v>
      </c>
      <c r="K15" s="73">
        <v>41</v>
      </c>
      <c r="M15" s="73">
        <v>81</v>
      </c>
    </row>
    <row r="16" spans="1:13">
      <c r="A16" s="76"/>
      <c r="B16" s="76"/>
      <c r="C16" s="76"/>
      <c r="D16" s="76"/>
      <c r="E16" s="76"/>
      <c r="F16" s="76"/>
      <c r="G16" s="76"/>
      <c r="H16" s="76"/>
      <c r="I16" s="76"/>
      <c r="J16" s="76"/>
      <c r="K16" s="76"/>
      <c r="L16" s="76"/>
      <c r="M16" s="76"/>
    </row>
    <row r="19" spans="1:1">
      <c r="A19" s="77" t="str">
        <f>HYPERLINK("[UKMY 2023 PrintableV1.1 12_09_24.xlsx]Contents!A1","Return to contents page")</f>
        <v>Return to contents page</v>
      </c>
    </row>
    <row r="64" spans="5:5">
      <c r="E64" s="78"/>
    </row>
  </sheetData>
  <sortState xmlns:xlrd2="http://schemas.microsoft.com/office/spreadsheetml/2017/richdata2" ref="A3:M15">
    <sortCondition descending="1" ref="A3:A15"/>
    <sortCondition ref="B3:B15"/>
  </sortState>
  <pageMargins left="0.7" right="0.7" top="0.75" bottom="0.75" header="0.3" footer="0.3"/>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C831A-C2D8-4EA2-AFD8-2D78E2A46AFC}">
  <dimension ref="A1:M64"/>
  <sheetViews>
    <sheetView view="pageBreakPreview" zoomScaleNormal="100" zoomScaleSheetLayoutView="100" workbookViewId="0">
      <selection activeCell="A6" sqref="A6"/>
    </sheetView>
  </sheetViews>
  <sheetFormatPr defaultColWidth="9.1796875" defaultRowHeight="14"/>
  <cols>
    <col min="1" max="1" width="21.81640625" style="73" customWidth="1"/>
    <col min="2" max="2" width="26.81640625" style="73" bestFit="1" customWidth="1"/>
    <col min="3" max="3" width="15.26953125" style="73" bestFit="1" customWidth="1"/>
    <col min="4" max="4" width="2.1796875" style="73" bestFit="1" customWidth="1"/>
    <col min="5" max="5" width="8.453125" style="73" bestFit="1" customWidth="1"/>
    <col min="6" max="6" width="2.1796875" style="73" bestFit="1" customWidth="1"/>
    <col min="7" max="7" width="8.453125" style="73" bestFit="1" customWidth="1"/>
    <col min="8" max="8" width="2.1796875" style="73" bestFit="1" customWidth="1"/>
    <col min="9" max="9" width="8.453125" style="73" bestFit="1" customWidth="1"/>
    <col min="10" max="10" width="2.1796875" style="73" bestFit="1" customWidth="1"/>
    <col min="11" max="11" width="8.453125" style="73" bestFit="1" customWidth="1"/>
    <col min="12" max="12" width="2.1796875" style="73" bestFit="1" customWidth="1"/>
    <col min="13" max="13" width="8.453125" style="73" bestFit="1" customWidth="1"/>
    <col min="14" max="16384" width="9.1796875" style="73"/>
  </cols>
  <sheetData>
    <row r="1" spans="1:13" ht="15.5">
      <c r="A1" s="72" t="s">
        <v>656</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223</v>
      </c>
      <c r="B3" s="73" t="s">
        <v>660</v>
      </c>
      <c r="C3" s="73" t="s">
        <v>201</v>
      </c>
      <c r="E3" s="75">
        <v>104759</v>
      </c>
      <c r="G3" s="75">
        <v>91394</v>
      </c>
      <c r="I3" s="75">
        <v>77204</v>
      </c>
      <c r="K3" s="75">
        <v>80854</v>
      </c>
      <c r="M3" s="75">
        <v>78065</v>
      </c>
    </row>
    <row r="5" spans="1:13">
      <c r="A5" s="73" t="s">
        <v>19</v>
      </c>
      <c r="B5" s="73" t="s">
        <v>657</v>
      </c>
      <c r="C5" s="73" t="s">
        <v>829</v>
      </c>
      <c r="E5" s="75">
        <v>7021</v>
      </c>
      <c r="G5" s="75">
        <v>10418</v>
      </c>
      <c r="I5" s="75">
        <v>6308</v>
      </c>
      <c r="K5" s="75">
        <v>7760</v>
      </c>
      <c r="M5" s="75">
        <v>10334</v>
      </c>
    </row>
    <row r="6" spans="1:13">
      <c r="A6" s="73" t="s">
        <v>19</v>
      </c>
      <c r="B6" s="73" t="s">
        <v>657</v>
      </c>
      <c r="C6" s="73" t="s">
        <v>201</v>
      </c>
      <c r="E6" s="75">
        <v>116235</v>
      </c>
      <c r="G6" s="75">
        <v>134320</v>
      </c>
      <c r="I6" s="75">
        <v>70557</v>
      </c>
      <c r="K6" s="75">
        <v>84823</v>
      </c>
      <c r="M6" s="75">
        <v>10305</v>
      </c>
    </row>
    <row r="7" spans="1:13">
      <c r="A7" s="73" t="s">
        <v>19</v>
      </c>
      <c r="B7" s="73" t="s">
        <v>658</v>
      </c>
      <c r="C7" s="73" t="s">
        <v>829</v>
      </c>
      <c r="E7" s="73">
        <v>34</v>
      </c>
      <c r="G7" s="73">
        <v>1</v>
      </c>
      <c r="I7" s="75">
        <v>4666</v>
      </c>
      <c r="K7" s="75">
        <v>2341</v>
      </c>
      <c r="M7" s="73">
        <v>44</v>
      </c>
    </row>
    <row r="8" spans="1:13">
      <c r="A8" s="73" t="s">
        <v>19</v>
      </c>
      <c r="B8" s="73" t="s">
        <v>658</v>
      </c>
      <c r="C8" s="73" t="s">
        <v>201</v>
      </c>
      <c r="E8" s="73">
        <v>1</v>
      </c>
      <c r="G8" s="73">
        <v>0</v>
      </c>
      <c r="I8" s="75">
        <v>2336</v>
      </c>
      <c r="K8" s="75">
        <v>1100</v>
      </c>
      <c r="M8" s="73">
        <v>19</v>
      </c>
    </row>
    <row r="9" spans="1:13">
      <c r="A9" s="73" t="s">
        <v>19</v>
      </c>
      <c r="B9" s="73" t="s">
        <v>659</v>
      </c>
      <c r="C9" s="73" t="s">
        <v>829</v>
      </c>
      <c r="E9" s="75">
        <v>1109</v>
      </c>
      <c r="G9" s="75">
        <v>1204</v>
      </c>
      <c r="I9" s="75">
        <v>1089</v>
      </c>
      <c r="K9" s="75">
        <v>1538</v>
      </c>
      <c r="M9" s="73">
        <v>761</v>
      </c>
    </row>
    <row r="10" spans="1:13">
      <c r="A10" s="73" t="s">
        <v>19</v>
      </c>
      <c r="B10" s="73" t="s">
        <v>659</v>
      </c>
      <c r="C10" s="73" t="s">
        <v>201</v>
      </c>
      <c r="E10" s="73">
        <v>676</v>
      </c>
      <c r="G10" s="73">
        <v>781</v>
      </c>
      <c r="I10" s="73">
        <v>984</v>
      </c>
      <c r="K10" s="75">
        <v>1402</v>
      </c>
      <c r="M10" s="73">
        <v>458</v>
      </c>
    </row>
    <row r="11" spans="1:13">
      <c r="A11" s="73" t="s">
        <v>19</v>
      </c>
      <c r="B11" s="73" t="s">
        <v>661</v>
      </c>
      <c r="C11" s="73" t="s">
        <v>829</v>
      </c>
      <c r="E11" s="75">
        <v>16155</v>
      </c>
      <c r="G11" s="75">
        <v>14212</v>
      </c>
      <c r="I11" s="75">
        <v>10893</v>
      </c>
      <c r="K11" s="75">
        <v>3864</v>
      </c>
      <c r="M11" s="75">
        <v>5771</v>
      </c>
    </row>
    <row r="12" spans="1:13">
      <c r="A12" s="73" t="s">
        <v>19</v>
      </c>
      <c r="B12" s="73" t="s">
        <v>661</v>
      </c>
      <c r="C12" s="73" t="s">
        <v>201</v>
      </c>
      <c r="E12" s="75">
        <v>6423</v>
      </c>
      <c r="G12" s="75">
        <v>5916</v>
      </c>
      <c r="I12" s="75">
        <v>5362</v>
      </c>
      <c r="K12" s="75">
        <v>1525</v>
      </c>
      <c r="M12" s="75">
        <v>1873</v>
      </c>
    </row>
    <row r="13" spans="1:13">
      <c r="A13" s="73" t="s">
        <v>19</v>
      </c>
      <c r="B13" s="73" t="s">
        <v>662</v>
      </c>
      <c r="C13" s="73" t="s">
        <v>829</v>
      </c>
      <c r="E13" s="75">
        <v>246358</v>
      </c>
      <c r="G13" s="75">
        <v>203607</v>
      </c>
      <c r="I13" s="75">
        <v>152694</v>
      </c>
      <c r="K13" s="75">
        <v>186044</v>
      </c>
      <c r="M13" s="75">
        <v>236791</v>
      </c>
    </row>
    <row r="14" spans="1:13">
      <c r="A14" s="73" t="s">
        <v>19</v>
      </c>
      <c r="B14" s="73" t="s">
        <v>662</v>
      </c>
      <c r="C14" s="73" t="s">
        <v>201</v>
      </c>
      <c r="E14" s="75">
        <v>102510</v>
      </c>
      <c r="G14" s="75">
        <v>93052</v>
      </c>
      <c r="I14" s="75">
        <v>78205</v>
      </c>
      <c r="K14" s="75">
        <v>80938</v>
      </c>
      <c r="M14" s="75">
        <v>78421</v>
      </c>
    </row>
    <row r="16" spans="1:13">
      <c r="A16" s="73" t="s">
        <v>20</v>
      </c>
      <c r="B16" s="73" t="s">
        <v>657</v>
      </c>
      <c r="C16" s="73" t="s">
        <v>829</v>
      </c>
      <c r="E16" s="75">
        <v>9021</v>
      </c>
      <c r="G16" s="75">
        <v>8326</v>
      </c>
      <c r="I16" s="75">
        <v>5310</v>
      </c>
      <c r="K16" s="75">
        <v>9160</v>
      </c>
      <c r="M16" s="75">
        <v>8672</v>
      </c>
    </row>
    <row r="17" spans="1:13">
      <c r="A17" s="73" t="s">
        <v>20</v>
      </c>
      <c r="B17" s="73" t="s">
        <v>657</v>
      </c>
      <c r="C17" s="73" t="s">
        <v>201</v>
      </c>
      <c r="E17" s="75">
        <v>5687</v>
      </c>
      <c r="G17" s="75">
        <v>6605</v>
      </c>
      <c r="I17" s="75">
        <v>4005</v>
      </c>
      <c r="K17" s="75">
        <v>6040</v>
      </c>
      <c r="M17" s="75">
        <v>4141</v>
      </c>
    </row>
    <row r="18" spans="1:13">
      <c r="A18" s="73" t="s">
        <v>20</v>
      </c>
      <c r="B18" s="73" t="s">
        <v>658</v>
      </c>
      <c r="C18" s="73" t="s">
        <v>829</v>
      </c>
      <c r="E18" s="75">
        <v>12154</v>
      </c>
      <c r="G18" s="75">
        <v>9494</v>
      </c>
      <c r="I18" s="75">
        <v>9202</v>
      </c>
      <c r="K18" s="75">
        <v>9381</v>
      </c>
      <c r="M18" s="75">
        <v>12937</v>
      </c>
    </row>
    <row r="19" spans="1:13">
      <c r="A19" s="73" t="s">
        <v>20</v>
      </c>
      <c r="B19" s="73" t="s">
        <v>658</v>
      </c>
      <c r="C19" s="73" t="s">
        <v>201</v>
      </c>
      <c r="E19" s="75">
        <v>23192</v>
      </c>
      <c r="G19" s="75">
        <v>18669</v>
      </c>
      <c r="I19" s="75">
        <v>20848</v>
      </c>
      <c r="K19" s="75">
        <v>20612</v>
      </c>
      <c r="M19" s="75">
        <v>22419</v>
      </c>
    </row>
    <row r="20" spans="1:13">
      <c r="A20" s="73" t="s">
        <v>20</v>
      </c>
      <c r="B20" s="73" t="s">
        <v>659</v>
      </c>
      <c r="C20" s="73" t="s">
        <v>829</v>
      </c>
      <c r="E20" s="75">
        <v>5766</v>
      </c>
      <c r="G20" s="75">
        <v>8169</v>
      </c>
      <c r="I20" s="75">
        <v>6471</v>
      </c>
      <c r="K20" s="75">
        <v>12253</v>
      </c>
      <c r="M20" s="75">
        <v>15022</v>
      </c>
    </row>
    <row r="21" spans="1:13">
      <c r="A21" s="73" t="s">
        <v>20</v>
      </c>
      <c r="B21" s="73" t="s">
        <v>659</v>
      </c>
      <c r="C21" s="73" t="s">
        <v>201</v>
      </c>
      <c r="E21" s="75">
        <v>3257</v>
      </c>
      <c r="G21" s="75">
        <v>5477</v>
      </c>
      <c r="I21" s="75">
        <v>4443</v>
      </c>
      <c r="K21" s="75">
        <v>7111</v>
      </c>
      <c r="M21" s="75">
        <v>7075</v>
      </c>
    </row>
    <row r="22" spans="1:13">
      <c r="A22" s="73" t="s">
        <v>20</v>
      </c>
      <c r="B22" s="73" t="s">
        <v>661</v>
      </c>
      <c r="C22" s="73" t="s">
        <v>829</v>
      </c>
      <c r="E22" s="75">
        <v>63093</v>
      </c>
      <c r="G22" s="75">
        <v>44403</v>
      </c>
      <c r="I22" s="75">
        <v>28896</v>
      </c>
      <c r="K22" s="75">
        <v>24687</v>
      </c>
      <c r="M22" s="75">
        <v>15966</v>
      </c>
    </row>
    <row r="23" spans="1:13">
      <c r="A23" s="73" t="s">
        <v>20</v>
      </c>
      <c r="B23" s="73" t="s">
        <v>661</v>
      </c>
      <c r="C23" s="73" t="s">
        <v>201</v>
      </c>
      <c r="E23" s="75">
        <v>24687</v>
      </c>
      <c r="G23" s="75">
        <v>20069</v>
      </c>
      <c r="I23" s="75">
        <v>14853</v>
      </c>
      <c r="K23" s="75">
        <v>10357</v>
      </c>
      <c r="M23" s="75">
        <v>4555</v>
      </c>
    </row>
    <row r="24" spans="1:13">
      <c r="A24" s="73" t="s">
        <v>20</v>
      </c>
      <c r="B24" s="73" t="s">
        <v>662</v>
      </c>
      <c r="C24" s="73" t="s">
        <v>829</v>
      </c>
      <c r="E24" s="75">
        <v>14360</v>
      </c>
      <c r="G24" s="75">
        <v>8664</v>
      </c>
      <c r="I24" s="75">
        <v>7118</v>
      </c>
      <c r="K24" s="73">
        <v>475</v>
      </c>
      <c r="M24" s="75">
        <v>1818</v>
      </c>
    </row>
    <row r="25" spans="1:13" ht="15.75" customHeight="1">
      <c r="A25" s="73" t="s">
        <v>20</v>
      </c>
      <c r="B25" s="73" t="s">
        <v>662</v>
      </c>
      <c r="C25" s="73" t="s">
        <v>201</v>
      </c>
      <c r="E25" s="75">
        <v>6016</v>
      </c>
      <c r="G25" s="75">
        <v>4012</v>
      </c>
      <c r="I25" s="75">
        <v>3621</v>
      </c>
      <c r="K25" s="73">
        <v>84</v>
      </c>
      <c r="M25" s="73">
        <v>357</v>
      </c>
    </row>
    <row r="26" spans="1:13">
      <c r="A26" s="76"/>
      <c r="B26" s="76"/>
      <c r="C26" s="76"/>
      <c r="D26" s="76"/>
      <c r="E26" s="76"/>
      <c r="F26" s="76"/>
      <c r="G26" s="76"/>
      <c r="H26" s="76"/>
      <c r="I26" s="76"/>
      <c r="J26" s="76"/>
      <c r="K26" s="76"/>
      <c r="L26" s="76"/>
      <c r="M26" s="76"/>
    </row>
    <row r="29" spans="1:13">
      <c r="A29" s="77" t="str">
        <f>HYPERLINK("[UKMY 2023 PrintableV1.1 12_09_24.xlsx]Contents!A1","Return to contents page")</f>
        <v>Return to contents page</v>
      </c>
    </row>
    <row r="64" spans="5:5">
      <c r="E64" s="78"/>
    </row>
  </sheetData>
  <sortState xmlns:xlrd2="http://schemas.microsoft.com/office/spreadsheetml/2017/richdata2" ref="A3:M25">
    <sortCondition descending="1" ref="A5:A25"/>
    <sortCondition ref="B5:B25"/>
  </sortState>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0D4C-7E00-4B03-8329-F77B6F98EB3E}">
  <dimension ref="A1:K64"/>
  <sheetViews>
    <sheetView view="pageBreakPreview" zoomScaleNormal="100" zoomScaleSheetLayoutView="100" workbookViewId="0">
      <selection activeCell="I17" sqref="I17"/>
    </sheetView>
  </sheetViews>
  <sheetFormatPr defaultColWidth="9.1796875" defaultRowHeight="14"/>
  <cols>
    <col min="1" max="1" width="32.453125" style="13" customWidth="1"/>
    <col min="2" max="2" width="9.1796875" style="13" customWidth="1"/>
    <col min="3" max="3" width="9.453125" style="13" bestFit="1" customWidth="1"/>
    <col min="4" max="4" width="9.81640625" style="13" bestFit="1" customWidth="1"/>
    <col min="5" max="5" width="9.453125" style="13" bestFit="1" customWidth="1"/>
    <col min="6" max="6" width="9.81640625" style="13" bestFit="1" customWidth="1"/>
    <col min="7" max="7" width="9.453125" style="13" bestFit="1" customWidth="1"/>
    <col min="8" max="8" width="9.81640625" style="13" bestFit="1" customWidth="1"/>
    <col min="9" max="9" width="9.453125" style="13" bestFit="1" customWidth="1"/>
    <col min="10" max="10" width="9.81640625" style="13" bestFit="1" customWidth="1"/>
    <col min="11" max="11" width="9.453125" style="13" bestFit="1" customWidth="1"/>
    <col min="12" max="12" width="16.453125" style="13" bestFit="1" customWidth="1"/>
    <col min="13" max="13" width="10.453125" style="13" bestFit="1" customWidth="1"/>
    <col min="14" max="16384" width="9.1796875" style="13"/>
  </cols>
  <sheetData>
    <row r="1" spans="1:11">
      <c r="A1" s="49" t="s">
        <v>825</v>
      </c>
      <c r="K1" s="41" t="s">
        <v>834</v>
      </c>
    </row>
    <row r="2" spans="1:11">
      <c r="A2" s="23" t="s">
        <v>0</v>
      </c>
      <c r="B2" s="23" t="s">
        <v>1</v>
      </c>
      <c r="C2" s="23">
        <v>2018</v>
      </c>
      <c r="D2" s="23" t="s">
        <v>1</v>
      </c>
      <c r="E2" s="23">
        <v>2019</v>
      </c>
      <c r="F2" s="23" t="s">
        <v>1</v>
      </c>
      <c r="G2" s="23">
        <v>2020</v>
      </c>
      <c r="H2" s="23" t="s">
        <v>1</v>
      </c>
      <c r="I2" s="23">
        <v>2021</v>
      </c>
      <c r="J2" s="23" t="s">
        <v>1</v>
      </c>
      <c r="K2" s="23">
        <v>2022</v>
      </c>
    </row>
    <row r="3" spans="1:11">
      <c r="A3" s="16" t="s">
        <v>84</v>
      </c>
      <c r="B3" s="31"/>
      <c r="C3" s="31">
        <v>0</v>
      </c>
      <c r="D3" s="31"/>
      <c r="E3" s="31">
        <v>0</v>
      </c>
      <c r="F3" s="31"/>
      <c r="G3" s="31">
        <v>0</v>
      </c>
      <c r="H3" s="31"/>
      <c r="I3" s="31">
        <v>0</v>
      </c>
      <c r="J3" s="31"/>
      <c r="K3" s="31">
        <v>0</v>
      </c>
    </row>
    <row r="4" spans="1:11">
      <c r="A4" s="16" t="s">
        <v>85</v>
      </c>
      <c r="B4" s="31"/>
      <c r="C4" s="39">
        <v>600</v>
      </c>
      <c r="D4" s="39"/>
      <c r="E4" s="39">
        <v>400</v>
      </c>
      <c r="F4" s="39"/>
      <c r="G4" s="39">
        <v>166.7</v>
      </c>
      <c r="H4" s="39"/>
      <c r="I4" s="39">
        <v>0</v>
      </c>
      <c r="J4" s="39"/>
      <c r="K4" s="31">
        <v>0</v>
      </c>
    </row>
    <row r="5" spans="1:11">
      <c r="A5" s="16" t="s">
        <v>86</v>
      </c>
      <c r="B5" s="31"/>
      <c r="C5" s="39"/>
      <c r="D5" s="39"/>
      <c r="E5" s="39"/>
      <c r="F5" s="39"/>
      <c r="G5" s="39"/>
      <c r="H5" s="39"/>
      <c r="I5" s="39"/>
      <c r="J5" s="39"/>
      <c r="K5" s="31"/>
    </row>
    <row r="6" spans="1:11">
      <c r="A6" s="16" t="s">
        <v>87</v>
      </c>
      <c r="B6" s="31"/>
      <c r="C6" s="39"/>
      <c r="D6" s="39"/>
      <c r="E6" s="39"/>
      <c r="F6" s="39"/>
      <c r="G6" s="39"/>
      <c r="H6" s="39"/>
      <c r="I6" s="39"/>
      <c r="J6" s="39"/>
      <c r="K6" s="31"/>
    </row>
    <row r="7" spans="1:11">
      <c r="A7" s="16" t="s">
        <v>88</v>
      </c>
      <c r="B7" s="31"/>
      <c r="C7" s="39"/>
      <c r="D7" s="39"/>
      <c r="E7" s="39"/>
      <c r="F7" s="39"/>
      <c r="G7" s="39"/>
      <c r="H7" s="39"/>
      <c r="I7" s="39"/>
      <c r="J7" s="39"/>
      <c r="K7" s="31"/>
    </row>
    <row r="8" spans="1:11">
      <c r="A8" s="16" t="s">
        <v>823</v>
      </c>
      <c r="B8" s="31"/>
      <c r="C8" s="39"/>
      <c r="D8" s="39"/>
      <c r="E8" s="39"/>
      <c r="F8" s="39"/>
      <c r="G8" s="39"/>
      <c r="H8" s="39"/>
      <c r="I8" s="39"/>
      <c r="J8" s="39"/>
      <c r="K8" s="31"/>
    </row>
    <row r="9" spans="1:11">
      <c r="A9" s="16" t="s">
        <v>820</v>
      </c>
      <c r="B9" s="31"/>
      <c r="C9" s="39"/>
      <c r="D9" s="39"/>
      <c r="E9" s="39"/>
      <c r="F9" s="39"/>
      <c r="G9" s="39"/>
      <c r="H9" s="39"/>
      <c r="I9" s="39"/>
      <c r="J9" s="39"/>
      <c r="K9" s="31"/>
    </row>
    <row r="10" spans="1:11">
      <c r="A10" s="16" t="s">
        <v>821</v>
      </c>
      <c r="B10" s="31"/>
      <c r="C10" s="39"/>
      <c r="D10" s="39"/>
      <c r="E10" s="39"/>
      <c r="F10" s="39"/>
      <c r="G10" s="39"/>
      <c r="H10" s="39"/>
      <c r="I10" s="39"/>
      <c r="J10" s="39"/>
      <c r="K10" s="31"/>
    </row>
    <row r="11" spans="1:11">
      <c r="A11" s="16" t="s">
        <v>89</v>
      </c>
      <c r="B11" s="31"/>
      <c r="C11" s="39"/>
      <c r="D11" s="39"/>
      <c r="E11" s="39"/>
      <c r="F11" s="39"/>
      <c r="G11" s="39"/>
      <c r="H11" s="39"/>
      <c r="I11" s="39"/>
      <c r="J11" s="39"/>
      <c r="K11" s="31"/>
    </row>
    <row r="12" spans="1:11">
      <c r="A12" s="16" t="s">
        <v>90</v>
      </c>
      <c r="B12" s="31"/>
      <c r="C12" s="39"/>
      <c r="D12" s="39"/>
      <c r="E12" s="39"/>
      <c r="F12" s="39"/>
      <c r="G12" s="39"/>
      <c r="H12" s="39"/>
      <c r="I12" s="39"/>
      <c r="J12" s="39"/>
      <c r="K12" s="31"/>
    </row>
    <row r="13" spans="1:11">
      <c r="A13" s="16" t="s">
        <v>91</v>
      </c>
      <c r="B13" s="31"/>
      <c r="C13" s="39"/>
      <c r="D13" s="39"/>
      <c r="E13" s="39"/>
      <c r="F13" s="39"/>
      <c r="G13" s="39"/>
      <c r="H13" s="39"/>
      <c r="I13" s="39"/>
      <c r="J13" s="39"/>
      <c r="K13" s="31"/>
    </row>
    <row r="14" spans="1:11">
      <c r="A14" s="16" t="s">
        <v>92</v>
      </c>
      <c r="B14" s="31"/>
      <c r="C14" s="39"/>
      <c r="D14" s="39"/>
      <c r="E14" s="39"/>
      <c r="F14" s="39"/>
      <c r="G14" s="39"/>
      <c r="H14" s="39"/>
      <c r="I14" s="39"/>
      <c r="J14" s="39"/>
      <c r="K14" s="31"/>
    </row>
    <row r="15" spans="1:11" ht="6.75" customHeight="1">
      <c r="A15" s="16"/>
      <c r="B15" s="31"/>
      <c r="C15" s="39"/>
      <c r="D15" s="39"/>
      <c r="E15" s="39"/>
      <c r="F15" s="39"/>
      <c r="G15" s="39"/>
      <c r="H15" s="39"/>
      <c r="I15" s="39"/>
      <c r="J15" s="39"/>
      <c r="K15" s="31"/>
    </row>
    <row r="16" spans="1:11">
      <c r="A16" s="16" t="s">
        <v>676</v>
      </c>
      <c r="B16" s="31"/>
      <c r="C16" s="39">
        <v>0</v>
      </c>
      <c r="D16" s="39"/>
      <c r="E16" s="39">
        <v>0</v>
      </c>
      <c r="F16" s="39"/>
      <c r="G16" s="39">
        <v>0</v>
      </c>
      <c r="H16" s="39"/>
      <c r="I16" s="39">
        <v>72</v>
      </c>
      <c r="J16" s="39"/>
      <c r="K16" s="31">
        <v>266</v>
      </c>
    </row>
    <row r="17" spans="1:11">
      <c r="A17" s="16" t="s">
        <v>675</v>
      </c>
      <c r="B17" s="31"/>
      <c r="C17" s="39">
        <v>0</v>
      </c>
      <c r="D17" s="39"/>
      <c r="E17" s="39">
        <v>0</v>
      </c>
      <c r="F17" s="39"/>
      <c r="G17" s="39">
        <v>0</v>
      </c>
      <c r="H17" s="39"/>
      <c r="I17" s="39">
        <v>370</v>
      </c>
      <c r="J17" s="39"/>
      <c r="K17" s="31">
        <v>1288</v>
      </c>
    </row>
    <row r="18" spans="1:11" ht="7.5" customHeight="1">
      <c r="A18" s="16"/>
      <c r="B18" s="31"/>
      <c r="C18" s="39"/>
      <c r="D18" s="39"/>
      <c r="E18" s="39"/>
      <c r="F18" s="39"/>
      <c r="G18" s="39"/>
      <c r="H18" s="39"/>
      <c r="I18" s="39"/>
      <c r="J18" s="39"/>
      <c r="K18" s="31"/>
    </row>
    <row r="19" spans="1:11">
      <c r="A19" s="16" t="s">
        <v>54</v>
      </c>
      <c r="B19" s="31"/>
      <c r="C19" s="39"/>
      <c r="D19" s="39"/>
      <c r="E19" s="39"/>
      <c r="F19" s="39"/>
      <c r="G19" s="39"/>
      <c r="H19" s="39"/>
      <c r="I19" s="39"/>
      <c r="J19" s="39"/>
      <c r="K19" s="31"/>
    </row>
    <row r="20" spans="1:11">
      <c r="A20" s="16" t="s">
        <v>710</v>
      </c>
      <c r="B20" s="31"/>
      <c r="C20" s="39"/>
      <c r="D20" s="39"/>
      <c r="E20" s="39"/>
      <c r="F20" s="39"/>
      <c r="G20" s="39"/>
      <c r="H20" s="39"/>
      <c r="I20" s="39"/>
      <c r="J20" s="39"/>
      <c r="K20" s="31"/>
    </row>
    <row r="21" spans="1:11">
      <c r="A21" s="16" t="s">
        <v>135</v>
      </c>
      <c r="B21" s="31"/>
      <c r="C21" s="39"/>
      <c r="D21" s="39"/>
      <c r="E21" s="39"/>
      <c r="F21" s="39"/>
      <c r="G21" s="39"/>
      <c r="H21" s="39"/>
      <c r="I21" s="39"/>
      <c r="J21" s="39"/>
      <c r="K21" s="31"/>
    </row>
    <row r="22" spans="1:11">
      <c r="A22" s="16" t="s">
        <v>136</v>
      </c>
      <c r="B22" s="31"/>
      <c r="C22" s="39"/>
      <c r="D22" s="39"/>
      <c r="E22" s="39"/>
      <c r="F22" s="39"/>
      <c r="G22" s="39"/>
      <c r="H22" s="39"/>
      <c r="I22" s="39"/>
      <c r="J22" s="39"/>
      <c r="K22" s="31"/>
    </row>
    <row r="23" spans="1:11">
      <c r="A23" s="16" t="s">
        <v>49</v>
      </c>
      <c r="B23" s="31"/>
      <c r="C23" s="39"/>
      <c r="D23" s="39"/>
      <c r="E23" s="39"/>
      <c r="F23" s="39"/>
      <c r="G23" s="39"/>
      <c r="H23" s="39"/>
      <c r="I23" s="39"/>
      <c r="J23" s="39"/>
      <c r="K23" s="31"/>
    </row>
    <row r="24" spans="1:11">
      <c r="A24" s="16" t="s">
        <v>50</v>
      </c>
      <c r="B24" s="31"/>
      <c r="C24" s="39"/>
      <c r="D24" s="39"/>
      <c r="E24" s="39"/>
      <c r="F24" s="39"/>
      <c r="G24" s="39"/>
      <c r="H24" s="39"/>
      <c r="I24" s="39"/>
      <c r="J24" s="39"/>
      <c r="K24" s="31"/>
    </row>
    <row r="25" spans="1:11">
      <c r="A25" s="16" t="s">
        <v>52</v>
      </c>
      <c r="B25" s="31" t="s">
        <v>148</v>
      </c>
      <c r="C25" s="39">
        <v>22331</v>
      </c>
      <c r="D25" s="39" t="s">
        <v>148</v>
      </c>
      <c r="E25" s="39">
        <v>23409</v>
      </c>
      <c r="F25" s="39" t="s">
        <v>148</v>
      </c>
      <c r="G25" s="39">
        <v>19105</v>
      </c>
      <c r="H25" s="39" t="s">
        <v>148</v>
      </c>
      <c r="I25" s="39">
        <v>23480</v>
      </c>
      <c r="J25" s="39" t="s">
        <v>148</v>
      </c>
      <c r="K25" s="31">
        <v>21347</v>
      </c>
    </row>
    <row r="26" spans="1:11">
      <c r="A26" s="16" t="s">
        <v>105</v>
      </c>
      <c r="B26" s="31"/>
      <c r="C26" s="39">
        <v>5599</v>
      </c>
      <c r="D26" s="39"/>
      <c r="E26" s="39">
        <v>5630</v>
      </c>
      <c r="F26" s="39"/>
      <c r="G26" s="39">
        <v>4758</v>
      </c>
      <c r="H26" s="39"/>
      <c r="I26" s="39">
        <v>5240.2</v>
      </c>
      <c r="J26" s="39"/>
      <c r="K26" s="31">
        <v>4484.3</v>
      </c>
    </row>
    <row r="27" spans="1:11">
      <c r="A27" s="16" t="s">
        <v>103</v>
      </c>
      <c r="B27" s="31"/>
      <c r="C27" s="39"/>
      <c r="D27" s="39"/>
      <c r="E27" s="39"/>
      <c r="F27" s="39"/>
      <c r="G27" s="39"/>
      <c r="H27" s="39"/>
      <c r="I27" s="39"/>
      <c r="J27" s="39"/>
      <c r="K27" s="31"/>
    </row>
    <row r="28" spans="1:11" ht="7.5" customHeight="1">
      <c r="A28" s="16"/>
      <c r="B28" s="31"/>
      <c r="C28" s="39"/>
      <c r="D28" s="39"/>
      <c r="E28" s="39"/>
      <c r="F28" s="39"/>
      <c r="G28" s="39"/>
      <c r="H28" s="39"/>
      <c r="I28" s="39"/>
      <c r="J28" s="39"/>
      <c r="K28" s="31"/>
    </row>
    <row r="29" spans="1:11">
      <c r="A29" s="16" t="s">
        <v>109</v>
      </c>
      <c r="B29" s="31"/>
      <c r="C29" s="39"/>
      <c r="D29" s="39"/>
      <c r="E29" s="39"/>
      <c r="F29" s="39"/>
      <c r="G29" s="39"/>
      <c r="H29" s="39"/>
      <c r="I29" s="39"/>
      <c r="J29" s="39"/>
      <c r="K29" s="31"/>
    </row>
    <row r="30" spans="1:11">
      <c r="A30" s="16" t="s">
        <v>111</v>
      </c>
      <c r="B30" s="31"/>
      <c r="C30" s="39"/>
      <c r="D30" s="39"/>
      <c r="E30" s="39"/>
      <c r="F30" s="39"/>
      <c r="G30" s="39"/>
      <c r="H30" s="39"/>
      <c r="I30" s="39"/>
      <c r="J30" s="39"/>
      <c r="K30" s="31"/>
    </row>
    <row r="31" spans="1:11" ht="15">
      <c r="A31" s="16" t="s">
        <v>846</v>
      </c>
      <c r="B31" s="31"/>
      <c r="C31" s="39"/>
      <c r="D31" s="39"/>
      <c r="E31" s="39"/>
      <c r="F31" s="39"/>
      <c r="G31" s="39"/>
      <c r="H31" s="39"/>
      <c r="I31" s="39"/>
      <c r="J31" s="39"/>
      <c r="K31" s="31"/>
    </row>
    <row r="32" spans="1:11">
      <c r="A32" s="16" t="s">
        <v>58</v>
      </c>
      <c r="B32" s="31"/>
      <c r="C32" s="39">
        <v>655</v>
      </c>
      <c r="D32" s="39"/>
      <c r="E32" s="39"/>
      <c r="F32" s="39"/>
      <c r="G32" s="39"/>
      <c r="H32" s="39"/>
      <c r="I32" s="39"/>
      <c r="J32" s="39"/>
      <c r="K32" s="31"/>
    </row>
    <row r="33" spans="1:11">
      <c r="A33" s="16" t="s">
        <v>115</v>
      </c>
      <c r="B33" s="31"/>
      <c r="C33" s="39">
        <v>2</v>
      </c>
      <c r="D33" s="39"/>
      <c r="E33" s="39">
        <v>3</v>
      </c>
      <c r="F33" s="39"/>
      <c r="G33" s="39">
        <v>1</v>
      </c>
      <c r="H33" s="39"/>
      <c r="I33" s="39">
        <v>1</v>
      </c>
      <c r="J33" s="39"/>
      <c r="K33" s="31">
        <v>3</v>
      </c>
    </row>
    <row r="34" spans="1:11">
      <c r="A34" s="35"/>
      <c r="B34" s="35"/>
      <c r="C34" s="35"/>
      <c r="D34" s="35"/>
      <c r="E34" s="35"/>
      <c r="F34" s="35"/>
      <c r="G34" s="35"/>
      <c r="H34" s="35"/>
      <c r="I34" s="35"/>
      <c r="J34" s="35"/>
      <c r="K34" s="35"/>
    </row>
    <row r="36" spans="1:11">
      <c r="A36" s="16" t="s">
        <v>14</v>
      </c>
      <c r="B36" s="16" t="s">
        <v>15</v>
      </c>
      <c r="C36" s="16"/>
      <c r="D36" s="16"/>
      <c r="E36" s="16"/>
      <c r="F36" s="16"/>
      <c r="G36" s="16"/>
      <c r="H36" s="16"/>
      <c r="I36" s="16"/>
      <c r="J36" s="16"/>
    </row>
    <row r="37" spans="1:11">
      <c r="A37" s="16" t="s">
        <v>118</v>
      </c>
      <c r="B37" s="16" t="s">
        <v>143</v>
      </c>
      <c r="C37" s="16"/>
      <c r="D37" s="16"/>
      <c r="E37" s="16"/>
      <c r="F37" s="16"/>
      <c r="G37" s="16"/>
      <c r="H37" s="16"/>
      <c r="I37" s="16"/>
      <c r="J37" s="16"/>
    </row>
    <row r="38" spans="1:11" ht="31.5" customHeight="1">
      <c r="A38" s="16" t="s">
        <v>142</v>
      </c>
      <c r="B38" s="105" t="s">
        <v>146</v>
      </c>
      <c r="C38" s="105"/>
      <c r="D38" s="105"/>
      <c r="E38" s="105"/>
      <c r="F38" s="105"/>
      <c r="G38" s="105"/>
      <c r="H38" s="105"/>
      <c r="I38" s="105"/>
      <c r="J38" s="105"/>
    </row>
    <row r="39" spans="1:11">
      <c r="A39" s="16" t="s">
        <v>124</v>
      </c>
      <c r="B39" s="16" t="s">
        <v>782</v>
      </c>
      <c r="C39" s="16"/>
      <c r="D39" s="16"/>
      <c r="E39" s="16"/>
      <c r="F39" s="16"/>
      <c r="G39" s="16"/>
      <c r="H39" s="16"/>
      <c r="I39" s="16"/>
      <c r="J39" s="16"/>
    </row>
    <row r="40" spans="1:11">
      <c r="A40" s="16"/>
      <c r="B40" s="16"/>
      <c r="C40" s="16"/>
      <c r="D40" s="16"/>
      <c r="E40" s="16"/>
      <c r="F40" s="16"/>
      <c r="G40" s="16"/>
      <c r="H40" s="16"/>
      <c r="I40" s="16"/>
      <c r="J40" s="16"/>
    </row>
    <row r="41" spans="1:11" ht="33.75" customHeight="1">
      <c r="A41" s="106" t="s">
        <v>147</v>
      </c>
      <c r="B41" s="106"/>
      <c r="C41" s="106"/>
      <c r="D41" s="106"/>
      <c r="E41" s="106"/>
      <c r="F41" s="106"/>
      <c r="G41" s="106"/>
      <c r="H41" s="106"/>
      <c r="I41" s="106"/>
      <c r="J41" s="106"/>
    </row>
    <row r="42" spans="1:11">
      <c r="A42" s="16"/>
      <c r="B42" s="16"/>
      <c r="C42" s="16"/>
      <c r="D42" s="16"/>
      <c r="E42" s="16"/>
      <c r="F42" s="16"/>
      <c r="G42" s="16"/>
      <c r="H42" s="16"/>
      <c r="I42" s="16"/>
      <c r="J42" s="16"/>
    </row>
    <row r="44" spans="1:11">
      <c r="A44" s="46" t="str">
        <f>HYPERLINK("[UKMY 2023 PrintableV1.1 12_09_24.xlsx]Contents!A1","Return to contents page")</f>
        <v>Return to contents page</v>
      </c>
    </row>
    <row r="64" spans="5:5">
      <c r="E64" s="47"/>
    </row>
  </sheetData>
  <mergeCells count="2">
    <mergeCell ref="B38:J38"/>
    <mergeCell ref="A41:J41"/>
  </mergeCells>
  <pageMargins left="0.7" right="0.7" top="0.75" bottom="0.75" header="0.3" footer="0.3"/>
  <pageSetup paperSize="9" orientation="landscape" r:id="rId1"/>
  <legacy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C79C-5003-4B8F-80BC-BCCD9AA1BA36}">
  <dimension ref="A1:M64"/>
  <sheetViews>
    <sheetView view="pageBreakPreview" zoomScaleNormal="90" zoomScaleSheetLayoutView="100" workbookViewId="0">
      <selection activeCell="A29" sqref="A29"/>
    </sheetView>
  </sheetViews>
  <sheetFormatPr defaultColWidth="9.1796875" defaultRowHeight="14"/>
  <cols>
    <col min="1" max="1" width="22.81640625" style="73" customWidth="1"/>
    <col min="2" max="2" width="38.1796875" style="73" bestFit="1" customWidth="1"/>
    <col min="3" max="3" width="15.26953125" style="73" bestFit="1" customWidth="1"/>
    <col min="4" max="4" width="3.453125" style="73" bestFit="1" customWidth="1"/>
    <col min="5" max="5" width="7.26953125" style="73" bestFit="1" customWidth="1"/>
    <col min="6" max="6" width="3.453125" style="73" bestFit="1" customWidth="1"/>
    <col min="7" max="7" width="7.26953125" style="73" bestFit="1" customWidth="1"/>
    <col min="8" max="8" width="3.453125" style="73" bestFit="1" customWidth="1"/>
    <col min="9" max="9" width="7.26953125" style="73" bestFit="1" customWidth="1"/>
    <col min="10" max="10" width="3.453125" style="73" bestFit="1" customWidth="1"/>
    <col min="11" max="11" width="6.1796875" style="73" bestFit="1" customWidth="1"/>
    <col min="12" max="12" width="3.453125" style="73" bestFit="1" customWidth="1"/>
    <col min="13" max="13" width="7.26953125" style="73" bestFit="1" customWidth="1"/>
    <col min="14" max="16384" width="9.1796875" style="73"/>
  </cols>
  <sheetData>
    <row r="1" spans="1:13" ht="15.5">
      <c r="A1" s="72" t="s">
        <v>663</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300</v>
      </c>
      <c r="B3" s="73" t="s">
        <v>737</v>
      </c>
      <c r="C3" s="73" t="s">
        <v>201</v>
      </c>
      <c r="D3" s="73" t="s">
        <v>205</v>
      </c>
      <c r="E3" s="75">
        <v>3000</v>
      </c>
      <c r="F3" s="73" t="s">
        <v>205</v>
      </c>
      <c r="G3" s="75">
        <v>2000</v>
      </c>
      <c r="H3" s="73" t="s">
        <v>205</v>
      </c>
      <c r="I3" s="75">
        <v>2000</v>
      </c>
      <c r="J3" s="73" t="s">
        <v>205</v>
      </c>
      <c r="K3" s="75">
        <v>1500</v>
      </c>
      <c r="L3" s="73" t="s">
        <v>205</v>
      </c>
      <c r="M3" s="75">
        <v>2000</v>
      </c>
    </row>
    <row r="5" spans="1:13">
      <c r="A5" s="73" t="s">
        <v>19</v>
      </c>
      <c r="B5" s="73" t="s">
        <v>664</v>
      </c>
      <c r="C5" s="73" t="s">
        <v>829</v>
      </c>
      <c r="D5" s="73" t="s">
        <v>209</v>
      </c>
      <c r="E5" s="75">
        <v>11427</v>
      </c>
      <c r="F5" s="73" t="s">
        <v>209</v>
      </c>
      <c r="G5" s="75">
        <v>10681</v>
      </c>
      <c r="H5" s="73" t="s">
        <v>209</v>
      </c>
      <c r="I5" s="75">
        <v>10508</v>
      </c>
      <c r="J5" s="73" t="s">
        <v>209</v>
      </c>
      <c r="K5" s="75">
        <v>8271</v>
      </c>
      <c r="L5" s="73" t="s">
        <v>209</v>
      </c>
      <c r="M5" s="75">
        <v>13716</v>
      </c>
    </row>
    <row r="6" spans="1:13">
      <c r="A6" s="73" t="s">
        <v>19</v>
      </c>
      <c r="B6" s="73" t="s">
        <v>664</v>
      </c>
      <c r="C6" s="73" t="s">
        <v>201</v>
      </c>
      <c r="D6" s="73" t="s">
        <v>209</v>
      </c>
      <c r="E6" s="75">
        <v>8060</v>
      </c>
      <c r="F6" s="73" t="s">
        <v>209</v>
      </c>
      <c r="G6" s="75">
        <v>6589</v>
      </c>
      <c r="H6" s="73" t="s">
        <v>209</v>
      </c>
      <c r="I6" s="75">
        <v>6836</v>
      </c>
      <c r="J6" s="73" t="s">
        <v>209</v>
      </c>
      <c r="K6" s="75">
        <v>5546</v>
      </c>
      <c r="L6" s="73" t="s">
        <v>209</v>
      </c>
      <c r="M6" s="75">
        <v>6918</v>
      </c>
    </row>
    <row r="7" spans="1:13">
      <c r="A7" s="73" t="s">
        <v>19</v>
      </c>
      <c r="B7" s="73" t="s">
        <v>665</v>
      </c>
      <c r="C7" s="73" t="s">
        <v>829</v>
      </c>
      <c r="E7" s="75">
        <v>2048</v>
      </c>
      <c r="G7" s="75">
        <v>1606</v>
      </c>
      <c r="I7" s="73">
        <v>495</v>
      </c>
      <c r="K7" s="73">
        <v>548</v>
      </c>
      <c r="M7" s="73">
        <v>679</v>
      </c>
    </row>
    <row r="8" spans="1:13">
      <c r="A8" s="73" t="s">
        <v>19</v>
      </c>
      <c r="B8" s="73" t="s">
        <v>665</v>
      </c>
      <c r="C8" s="73" t="s">
        <v>201</v>
      </c>
      <c r="E8" s="73">
        <v>206</v>
      </c>
      <c r="G8" s="73">
        <v>184</v>
      </c>
      <c r="I8" s="73">
        <v>62</v>
      </c>
      <c r="K8" s="73">
        <v>40</v>
      </c>
      <c r="M8" s="73">
        <v>75</v>
      </c>
    </row>
    <row r="9" spans="1:13">
      <c r="A9" s="73" t="s">
        <v>19</v>
      </c>
      <c r="B9" s="73" t="s">
        <v>666</v>
      </c>
      <c r="C9" s="73" t="s">
        <v>829</v>
      </c>
      <c r="E9" s="75">
        <v>2821</v>
      </c>
      <c r="G9" s="75">
        <v>5186</v>
      </c>
      <c r="I9" s="75">
        <v>4081</v>
      </c>
      <c r="K9" s="75">
        <v>1484</v>
      </c>
      <c r="M9" s="75">
        <v>3602</v>
      </c>
    </row>
    <row r="10" spans="1:13">
      <c r="A10" s="73" t="s">
        <v>19</v>
      </c>
      <c r="B10" s="73" t="s">
        <v>666</v>
      </c>
      <c r="C10" s="73" t="s">
        <v>201</v>
      </c>
      <c r="E10" s="73">
        <v>88</v>
      </c>
      <c r="G10" s="73">
        <v>151</v>
      </c>
      <c r="I10" s="73">
        <v>129</v>
      </c>
      <c r="K10" s="73">
        <v>70</v>
      </c>
      <c r="M10" s="73">
        <v>155</v>
      </c>
    </row>
    <row r="11" spans="1:13">
      <c r="A11" s="73" t="s">
        <v>19</v>
      </c>
      <c r="B11" s="73" t="s">
        <v>667</v>
      </c>
      <c r="C11" s="73" t="s">
        <v>829</v>
      </c>
      <c r="E11" s="75">
        <v>2612</v>
      </c>
      <c r="G11" s="75">
        <v>3642</v>
      </c>
      <c r="I11" s="75">
        <v>2659</v>
      </c>
      <c r="K11" s="75">
        <v>3567</v>
      </c>
      <c r="M11" s="75">
        <v>9893</v>
      </c>
    </row>
    <row r="12" spans="1:13">
      <c r="A12" s="73" t="s">
        <v>19</v>
      </c>
      <c r="B12" s="73" t="s">
        <v>667</v>
      </c>
      <c r="C12" s="73" t="s">
        <v>201</v>
      </c>
      <c r="E12" s="73">
        <v>29</v>
      </c>
      <c r="G12" s="73">
        <v>53</v>
      </c>
      <c r="I12" s="73">
        <v>39</v>
      </c>
      <c r="K12" s="73">
        <v>48</v>
      </c>
      <c r="M12" s="73">
        <v>105</v>
      </c>
    </row>
    <row r="14" spans="1:13">
      <c r="A14" s="73" t="s">
        <v>20</v>
      </c>
      <c r="B14" s="73" t="s">
        <v>664</v>
      </c>
      <c r="C14" s="73" t="s">
        <v>829</v>
      </c>
      <c r="E14" s="75">
        <v>3974</v>
      </c>
      <c r="G14" s="75">
        <v>3349</v>
      </c>
      <c r="I14" s="75">
        <v>2710</v>
      </c>
      <c r="K14" s="75">
        <v>2400</v>
      </c>
      <c r="M14" s="75">
        <v>3448</v>
      </c>
    </row>
    <row r="15" spans="1:13">
      <c r="A15" s="73" t="s">
        <v>20</v>
      </c>
      <c r="B15" s="73" t="s">
        <v>664</v>
      </c>
      <c r="C15" s="73" t="s">
        <v>201</v>
      </c>
      <c r="E15" s="75">
        <v>1461</v>
      </c>
      <c r="G15" s="75">
        <v>1165</v>
      </c>
      <c r="I15" s="75">
        <v>1112</v>
      </c>
      <c r="K15" s="75">
        <v>1317</v>
      </c>
      <c r="M15" s="75">
        <v>1149</v>
      </c>
    </row>
    <row r="16" spans="1:13">
      <c r="A16" s="73" t="s">
        <v>20</v>
      </c>
      <c r="B16" s="73" t="s">
        <v>665</v>
      </c>
      <c r="C16" s="73" t="s">
        <v>829</v>
      </c>
      <c r="E16" s="75">
        <v>1273</v>
      </c>
      <c r="G16" s="75">
        <v>1609</v>
      </c>
      <c r="I16" s="73">
        <v>833</v>
      </c>
      <c r="K16" s="75">
        <v>1423</v>
      </c>
      <c r="M16" s="75">
        <v>1550</v>
      </c>
    </row>
    <row r="17" spans="1:13">
      <c r="A17" s="73" t="s">
        <v>20</v>
      </c>
      <c r="B17" s="73" t="s">
        <v>665</v>
      </c>
      <c r="C17" s="73" t="s">
        <v>201</v>
      </c>
      <c r="E17" s="73">
        <v>109</v>
      </c>
      <c r="G17" s="73">
        <v>152</v>
      </c>
      <c r="I17" s="73">
        <v>65</v>
      </c>
      <c r="K17" s="73">
        <v>104</v>
      </c>
      <c r="M17" s="73">
        <v>94</v>
      </c>
    </row>
    <row r="18" spans="1:13">
      <c r="A18" s="73" t="s">
        <v>20</v>
      </c>
      <c r="B18" s="73" t="s">
        <v>666</v>
      </c>
      <c r="C18" s="73" t="s">
        <v>829</v>
      </c>
      <c r="E18" s="73">
        <v>465</v>
      </c>
      <c r="G18" s="73">
        <v>234</v>
      </c>
      <c r="I18" s="73">
        <v>275</v>
      </c>
      <c r="K18" s="73">
        <v>265</v>
      </c>
      <c r="M18" s="75">
        <v>1038</v>
      </c>
    </row>
    <row r="19" spans="1:13">
      <c r="A19" s="73" t="s">
        <v>20</v>
      </c>
      <c r="B19" s="73" t="s">
        <v>666</v>
      </c>
      <c r="C19" s="73" t="s">
        <v>201</v>
      </c>
      <c r="E19" s="73">
        <v>14</v>
      </c>
      <c r="G19" s="73">
        <v>2</v>
      </c>
      <c r="I19" s="73">
        <v>3</v>
      </c>
      <c r="K19" s="73">
        <v>5</v>
      </c>
      <c r="M19" s="73">
        <v>18</v>
      </c>
    </row>
    <row r="20" spans="1:13">
      <c r="A20" s="73" t="s">
        <v>20</v>
      </c>
      <c r="B20" s="73" t="s">
        <v>667</v>
      </c>
      <c r="C20" s="73" t="s">
        <v>829</v>
      </c>
      <c r="E20" s="73">
        <v>559</v>
      </c>
      <c r="G20" s="73">
        <v>405</v>
      </c>
      <c r="I20" s="73">
        <v>811</v>
      </c>
      <c r="K20" s="73">
        <v>333</v>
      </c>
      <c r="M20" s="73">
        <v>675</v>
      </c>
    </row>
    <row r="21" spans="1:13">
      <c r="A21" s="73" t="s">
        <v>20</v>
      </c>
      <c r="B21" s="73" t="s">
        <v>667</v>
      </c>
      <c r="C21" s="73" t="s">
        <v>201</v>
      </c>
      <c r="E21" s="73">
        <v>13</v>
      </c>
      <c r="G21" s="73">
        <v>14</v>
      </c>
      <c r="I21" s="73">
        <v>19</v>
      </c>
      <c r="K21" s="73">
        <v>2</v>
      </c>
      <c r="M21" s="73">
        <v>8</v>
      </c>
    </row>
    <row r="22" spans="1:13">
      <c r="A22" s="76"/>
      <c r="B22" s="76"/>
      <c r="C22" s="76"/>
      <c r="D22" s="76"/>
      <c r="E22" s="76"/>
      <c r="F22" s="76"/>
      <c r="G22" s="76"/>
      <c r="H22" s="76"/>
      <c r="I22" s="76"/>
      <c r="J22" s="76"/>
      <c r="K22" s="76"/>
      <c r="L22" s="76"/>
      <c r="M22" s="76"/>
    </row>
    <row r="24" spans="1:13">
      <c r="A24" s="73" t="s">
        <v>14</v>
      </c>
      <c r="B24" s="73" t="s">
        <v>15</v>
      </c>
    </row>
    <row r="25" spans="1:13">
      <c r="A25" s="73" t="s">
        <v>214</v>
      </c>
      <c r="B25" s="73" t="s">
        <v>334</v>
      </c>
    </row>
    <row r="26" spans="1:13">
      <c r="A26" s="73" t="s">
        <v>215</v>
      </c>
      <c r="B26" s="73" t="s">
        <v>668</v>
      </c>
    </row>
    <row r="29" spans="1:13" ht="14.5">
      <c r="A29" s="4" t="str">
        <f>HYPERLINK("[UKMY 2023 PrintableV1.1 12_09_24.xlsx]Contents!A1","Return to contents page")</f>
        <v>Return to contents page</v>
      </c>
    </row>
    <row r="64" spans="5:5">
      <c r="E64" s="78"/>
    </row>
  </sheetData>
  <sortState xmlns:xlrd2="http://schemas.microsoft.com/office/spreadsheetml/2017/richdata2" ref="A3:M21">
    <sortCondition descending="1" ref="A5:A21"/>
    <sortCondition ref="B5:B21"/>
  </sortState>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4F34-2E18-4DC0-A8F7-10A3E8ED23B8}">
  <dimension ref="A1:K64"/>
  <sheetViews>
    <sheetView view="pageBreakPreview" zoomScaleNormal="100" zoomScaleSheetLayoutView="100" workbookViewId="0">
      <selection activeCell="O22" sqref="O22"/>
    </sheetView>
  </sheetViews>
  <sheetFormatPr defaultColWidth="9.1796875" defaultRowHeight="14"/>
  <cols>
    <col min="1" max="1" width="62.7265625" style="13" customWidth="1"/>
    <col min="2" max="2" width="4.1796875" style="13" customWidth="1"/>
    <col min="3" max="3" width="8.453125" style="13" bestFit="1" customWidth="1"/>
    <col min="4" max="4" width="5" style="13" bestFit="1" customWidth="1"/>
    <col min="5" max="5" width="8.453125" style="13" bestFit="1" customWidth="1"/>
    <col min="6" max="6" width="5" style="13" bestFit="1" customWidth="1"/>
    <col min="7" max="7" width="8.453125" style="13" bestFit="1" customWidth="1"/>
    <col min="8" max="8" width="5" style="13" bestFit="1" customWidth="1"/>
    <col min="9" max="9" width="8.453125" style="13" bestFit="1" customWidth="1"/>
    <col min="10" max="10" width="5" style="13" bestFit="1" customWidth="1"/>
    <col min="11" max="11" width="8.453125" style="13" bestFit="1" customWidth="1"/>
    <col min="12" max="12" width="16.453125" style="13" bestFit="1" customWidth="1"/>
    <col min="13" max="13" width="9.453125" style="13" bestFit="1" customWidth="1"/>
    <col min="14" max="16384" width="9.1796875" style="13"/>
  </cols>
  <sheetData>
    <row r="1" spans="1:11">
      <c r="A1" s="49" t="s">
        <v>826</v>
      </c>
      <c r="K1" s="41" t="s">
        <v>834</v>
      </c>
    </row>
    <row r="2" spans="1:11">
      <c r="A2" s="23" t="s">
        <v>0</v>
      </c>
      <c r="B2" s="23" t="s">
        <v>1</v>
      </c>
      <c r="C2" s="23">
        <v>2018</v>
      </c>
      <c r="D2" s="23" t="s">
        <v>1</v>
      </c>
      <c r="E2" s="23">
        <v>2019</v>
      </c>
      <c r="F2" s="23" t="s">
        <v>1</v>
      </c>
      <c r="G2" s="23">
        <v>2020</v>
      </c>
      <c r="H2" s="23" t="s">
        <v>1</v>
      </c>
      <c r="I2" s="23">
        <v>2021</v>
      </c>
      <c r="J2" s="23" t="s">
        <v>1</v>
      </c>
      <c r="K2" s="23">
        <v>2022</v>
      </c>
    </row>
    <row r="3" spans="1:11">
      <c r="A3" s="16" t="s">
        <v>848</v>
      </c>
      <c r="B3" s="16"/>
      <c r="C3" s="39">
        <v>122</v>
      </c>
      <c r="D3" s="39"/>
      <c r="E3" s="39">
        <v>111</v>
      </c>
      <c r="F3" s="39"/>
      <c r="G3" s="39">
        <v>92</v>
      </c>
      <c r="H3" s="39"/>
      <c r="I3" s="39">
        <v>104</v>
      </c>
      <c r="J3" s="39"/>
      <c r="K3" s="39">
        <v>101</v>
      </c>
    </row>
    <row r="4" spans="1:11">
      <c r="A4" s="16"/>
      <c r="B4" s="16"/>
      <c r="C4" s="39"/>
      <c r="D4" s="39"/>
      <c r="E4" s="39"/>
      <c r="F4" s="39"/>
      <c r="G4" s="39"/>
      <c r="H4" s="39"/>
      <c r="I4" s="39"/>
      <c r="J4" s="39"/>
      <c r="K4" s="39"/>
    </row>
    <row r="5" spans="1:11">
      <c r="A5" s="16" t="s">
        <v>849</v>
      </c>
      <c r="B5" s="16"/>
      <c r="C5" s="39">
        <v>108</v>
      </c>
      <c r="D5" s="39"/>
      <c r="E5" s="39">
        <v>92</v>
      </c>
      <c r="F5" s="39"/>
      <c r="G5" s="39">
        <v>111</v>
      </c>
      <c r="H5" s="39"/>
      <c r="I5" s="39">
        <v>105</v>
      </c>
      <c r="J5" s="39"/>
      <c r="K5" s="39">
        <v>94.26</v>
      </c>
    </row>
    <row r="6" spans="1:11">
      <c r="A6" s="16" t="s">
        <v>850</v>
      </c>
      <c r="B6" s="16"/>
      <c r="C6" s="39">
        <v>41</v>
      </c>
      <c r="D6" s="39"/>
      <c r="E6" s="39">
        <v>54</v>
      </c>
      <c r="F6" s="39"/>
      <c r="G6" s="39">
        <v>46</v>
      </c>
      <c r="H6" s="39"/>
      <c r="I6" s="39">
        <v>39</v>
      </c>
      <c r="J6" s="39"/>
      <c r="K6" s="39">
        <v>45</v>
      </c>
    </row>
    <row r="7" spans="1:11">
      <c r="A7" s="16" t="s">
        <v>851</v>
      </c>
      <c r="B7" s="16"/>
      <c r="C7" s="39">
        <v>86</v>
      </c>
      <c r="D7" s="39"/>
      <c r="E7" s="39">
        <v>85</v>
      </c>
      <c r="F7" s="39"/>
      <c r="G7" s="39">
        <v>88</v>
      </c>
      <c r="H7" s="39"/>
      <c r="I7" s="39">
        <v>90</v>
      </c>
      <c r="J7" s="39"/>
      <c r="K7" s="39">
        <v>76.150000000000006</v>
      </c>
    </row>
    <row r="8" spans="1:11">
      <c r="A8" s="16" t="s">
        <v>852</v>
      </c>
      <c r="B8" s="16"/>
      <c r="C8" s="39">
        <v>39</v>
      </c>
      <c r="D8" s="39"/>
      <c r="E8" s="39">
        <v>38</v>
      </c>
      <c r="F8" s="39"/>
      <c r="G8" s="39">
        <v>64</v>
      </c>
      <c r="H8" s="39"/>
      <c r="I8" s="39">
        <v>58</v>
      </c>
      <c r="J8" s="39"/>
      <c r="K8" s="39">
        <v>57.16</v>
      </c>
    </row>
    <row r="9" spans="1:11">
      <c r="A9" s="16"/>
      <c r="B9" s="16"/>
      <c r="C9" s="39"/>
      <c r="D9" s="39"/>
      <c r="E9" s="39"/>
      <c r="F9" s="39"/>
      <c r="G9" s="39"/>
      <c r="H9" s="39"/>
      <c r="I9" s="39"/>
      <c r="J9" s="39"/>
      <c r="K9" s="39"/>
    </row>
    <row r="10" spans="1:11">
      <c r="A10" s="16" t="s">
        <v>853</v>
      </c>
      <c r="B10" s="16"/>
      <c r="C10" s="39">
        <v>52</v>
      </c>
      <c r="D10" s="39"/>
      <c r="E10" s="39">
        <v>59</v>
      </c>
      <c r="F10" s="39"/>
      <c r="G10" s="39">
        <v>53.98</v>
      </c>
      <c r="H10" s="39"/>
      <c r="I10" s="39">
        <v>39</v>
      </c>
      <c r="J10" s="39"/>
      <c r="K10" s="39">
        <v>0</v>
      </c>
    </row>
    <row r="11" spans="1:11">
      <c r="A11" s="16" t="s">
        <v>854</v>
      </c>
      <c r="B11" s="16" t="s">
        <v>98</v>
      </c>
      <c r="C11" s="39">
        <v>240</v>
      </c>
      <c r="D11" s="39" t="s">
        <v>98</v>
      </c>
      <c r="E11" s="39">
        <v>250</v>
      </c>
      <c r="F11" s="39" t="s">
        <v>98</v>
      </c>
      <c r="G11" s="39">
        <v>240</v>
      </c>
      <c r="H11" s="39" t="s">
        <v>98</v>
      </c>
      <c r="I11" s="39">
        <v>214</v>
      </c>
      <c r="J11" s="39" t="s">
        <v>98</v>
      </c>
      <c r="K11" s="39">
        <v>232</v>
      </c>
    </row>
    <row r="12" spans="1:11">
      <c r="A12" s="16"/>
      <c r="B12" s="16"/>
      <c r="C12" s="39"/>
      <c r="D12" s="39"/>
      <c r="E12" s="39"/>
      <c r="F12" s="39"/>
      <c r="G12" s="39"/>
      <c r="H12" s="39"/>
      <c r="I12" s="39"/>
      <c r="J12" s="39"/>
      <c r="K12" s="39"/>
    </row>
    <row r="13" spans="1:11">
      <c r="A13" s="16" t="s">
        <v>855</v>
      </c>
      <c r="B13" s="16" t="s">
        <v>41</v>
      </c>
      <c r="C13" s="39">
        <v>4164</v>
      </c>
      <c r="D13" s="39" t="s">
        <v>41</v>
      </c>
      <c r="E13" s="39">
        <v>3162</v>
      </c>
      <c r="F13" s="39" t="s">
        <v>41</v>
      </c>
      <c r="G13" s="39">
        <v>3109</v>
      </c>
      <c r="H13" s="39" t="s">
        <v>41</v>
      </c>
      <c r="I13" s="39">
        <v>3869.85</v>
      </c>
      <c r="J13" s="39" t="s">
        <v>41</v>
      </c>
      <c r="K13" s="39">
        <v>3348</v>
      </c>
    </row>
    <row r="14" spans="1:11">
      <c r="A14" s="16" t="s">
        <v>856</v>
      </c>
      <c r="B14" s="16"/>
      <c r="C14" s="39"/>
      <c r="D14" s="39"/>
      <c r="E14" s="39"/>
      <c r="F14" s="39"/>
      <c r="G14" s="39"/>
      <c r="H14" s="39"/>
      <c r="I14" s="39"/>
      <c r="J14" s="39"/>
      <c r="K14" s="39"/>
    </row>
    <row r="15" spans="1:11">
      <c r="A15" s="16" t="s">
        <v>857</v>
      </c>
      <c r="B15" s="16"/>
      <c r="C15" s="39">
        <v>7</v>
      </c>
      <c r="D15" s="39"/>
      <c r="E15" s="39">
        <v>50</v>
      </c>
      <c r="F15" s="39"/>
      <c r="G15" s="39">
        <v>28</v>
      </c>
      <c r="H15" s="39"/>
      <c r="I15" s="39">
        <v>7</v>
      </c>
      <c r="J15" s="39" t="s">
        <v>98</v>
      </c>
      <c r="K15" s="39">
        <v>4</v>
      </c>
    </row>
    <row r="16" spans="1:11">
      <c r="A16" s="16" t="s">
        <v>858</v>
      </c>
      <c r="B16" s="16"/>
      <c r="C16" s="39"/>
      <c r="D16" s="39"/>
      <c r="E16" s="39"/>
      <c r="F16" s="39"/>
      <c r="G16" s="39"/>
      <c r="H16" s="39"/>
      <c r="I16" s="39"/>
      <c r="J16" s="39"/>
      <c r="K16" s="39"/>
    </row>
    <row r="17" spans="1:11">
      <c r="A17" s="16" t="s">
        <v>859</v>
      </c>
      <c r="B17" s="16" t="s">
        <v>98</v>
      </c>
      <c r="C17" s="39">
        <v>0</v>
      </c>
      <c r="D17" s="39" t="s">
        <v>98</v>
      </c>
      <c r="E17" s="39">
        <v>50</v>
      </c>
      <c r="F17" s="39" t="s">
        <v>98</v>
      </c>
      <c r="G17" s="39">
        <v>30</v>
      </c>
      <c r="H17" s="39" t="s">
        <v>98</v>
      </c>
      <c r="I17" s="39">
        <v>10</v>
      </c>
      <c r="J17" s="39" t="s">
        <v>98</v>
      </c>
      <c r="K17" s="39">
        <v>5</v>
      </c>
    </row>
    <row r="18" spans="1:11">
      <c r="A18" s="16" t="s">
        <v>860</v>
      </c>
      <c r="B18" s="16"/>
      <c r="C18" s="39">
        <v>1565</v>
      </c>
      <c r="D18" s="39"/>
      <c r="E18" s="39">
        <v>752</v>
      </c>
      <c r="F18" s="39"/>
      <c r="G18" s="39">
        <v>782</v>
      </c>
      <c r="H18" s="39"/>
      <c r="I18" s="39">
        <v>983.77</v>
      </c>
      <c r="J18" s="39"/>
      <c r="K18" s="39">
        <v>856</v>
      </c>
    </row>
    <row r="19" spans="1:11">
      <c r="A19" s="16" t="s">
        <v>861</v>
      </c>
      <c r="B19" s="16"/>
      <c r="C19" s="39">
        <v>3175</v>
      </c>
      <c r="D19" s="39"/>
      <c r="E19" s="39">
        <v>2290</v>
      </c>
      <c r="F19" s="39"/>
      <c r="G19" s="39">
        <v>2501</v>
      </c>
      <c r="H19" s="39"/>
      <c r="I19" s="39">
        <v>2488.2199999999998</v>
      </c>
      <c r="J19" s="39"/>
      <c r="K19" s="39">
        <v>2700</v>
      </c>
    </row>
    <row r="20" spans="1:11">
      <c r="A20" s="16" t="s">
        <v>862</v>
      </c>
      <c r="B20" s="16"/>
      <c r="C20" s="39">
        <v>3158</v>
      </c>
      <c r="D20" s="39"/>
      <c r="E20" s="39">
        <v>2664</v>
      </c>
      <c r="F20" s="39"/>
      <c r="G20" s="39">
        <v>2861</v>
      </c>
      <c r="H20" s="39"/>
      <c r="I20" s="39">
        <v>2953.44</v>
      </c>
      <c r="J20" s="39"/>
      <c r="K20" s="39">
        <v>2710</v>
      </c>
    </row>
    <row r="21" spans="1:11">
      <c r="A21" s="16" t="s">
        <v>863</v>
      </c>
      <c r="B21" s="16"/>
      <c r="C21" s="39">
        <v>5339</v>
      </c>
      <c r="D21" s="39"/>
      <c r="E21" s="39">
        <v>4515</v>
      </c>
      <c r="F21" s="39"/>
      <c r="G21" s="39">
        <v>4346</v>
      </c>
      <c r="H21" s="39"/>
      <c r="I21" s="39">
        <v>4426.88</v>
      </c>
      <c r="J21" s="39"/>
      <c r="K21" s="39">
        <v>4468</v>
      </c>
    </row>
    <row r="22" spans="1:11">
      <c r="A22" s="16" t="s">
        <v>864</v>
      </c>
      <c r="B22" s="16"/>
      <c r="C22" s="39">
        <v>0</v>
      </c>
      <c r="D22" s="39"/>
      <c r="E22" s="39">
        <v>130</v>
      </c>
      <c r="F22" s="39"/>
      <c r="G22" s="39">
        <v>100</v>
      </c>
      <c r="H22" s="39" t="s">
        <v>98</v>
      </c>
      <c r="I22" s="39">
        <v>40</v>
      </c>
      <c r="J22" s="39" t="s">
        <v>98</v>
      </c>
      <c r="K22" s="39">
        <v>12</v>
      </c>
    </row>
    <row r="23" spans="1:11">
      <c r="A23" s="26"/>
      <c r="B23" s="26"/>
      <c r="C23" s="26"/>
      <c r="D23" s="26"/>
      <c r="E23" s="26"/>
      <c r="F23" s="26"/>
      <c r="G23" s="26"/>
      <c r="H23" s="26"/>
      <c r="I23" s="26"/>
      <c r="J23" s="26"/>
      <c r="K23" s="26"/>
    </row>
    <row r="24" spans="1:11">
      <c r="A24" s="16"/>
      <c r="B24" s="16"/>
      <c r="C24" s="16"/>
      <c r="D24" s="16"/>
      <c r="E24" s="16"/>
      <c r="F24" s="16"/>
      <c r="G24" s="16"/>
      <c r="H24" s="16"/>
      <c r="I24" s="16"/>
      <c r="J24" s="16"/>
      <c r="K24" s="16"/>
    </row>
    <row r="25" spans="1:11">
      <c r="A25" s="16" t="s">
        <v>14</v>
      </c>
      <c r="B25" s="16" t="s">
        <v>15</v>
      </c>
      <c r="C25" s="16"/>
      <c r="D25" s="16"/>
      <c r="E25" s="16"/>
      <c r="F25" s="16"/>
      <c r="G25" s="16"/>
      <c r="H25" s="16"/>
      <c r="I25" s="16"/>
      <c r="J25" s="16"/>
      <c r="K25" s="16"/>
    </row>
    <row r="26" spans="1:11">
      <c r="A26" s="16" t="s">
        <v>69</v>
      </c>
      <c r="B26" s="16" t="s">
        <v>149</v>
      </c>
      <c r="C26" s="16"/>
      <c r="D26" s="16"/>
      <c r="E26" s="16"/>
      <c r="F26" s="16"/>
      <c r="G26" s="16"/>
      <c r="H26" s="16"/>
      <c r="I26" s="16"/>
      <c r="J26" s="16"/>
      <c r="K26" s="16"/>
    </row>
    <row r="27" spans="1:11">
      <c r="A27" s="16" t="s">
        <v>118</v>
      </c>
      <c r="B27" s="16" t="s">
        <v>150</v>
      </c>
      <c r="C27" s="16"/>
      <c r="D27" s="16"/>
      <c r="E27" s="16"/>
      <c r="F27" s="16"/>
      <c r="G27" s="16"/>
      <c r="H27" s="16"/>
      <c r="I27" s="16"/>
      <c r="J27" s="16"/>
      <c r="K27" s="16"/>
    </row>
    <row r="28" spans="1:11">
      <c r="A28" s="16"/>
      <c r="B28" s="16"/>
      <c r="C28" s="16"/>
      <c r="D28" s="16"/>
      <c r="E28" s="16"/>
      <c r="F28" s="16"/>
      <c r="G28" s="16"/>
      <c r="H28" s="16"/>
      <c r="I28" s="16"/>
      <c r="J28" s="16"/>
      <c r="K28" s="16"/>
    </row>
    <row r="29" spans="1:11" ht="29.25" customHeight="1">
      <c r="A29" s="105" t="s">
        <v>151</v>
      </c>
      <c r="B29" s="105"/>
      <c r="C29" s="105"/>
      <c r="D29" s="105"/>
      <c r="E29" s="105"/>
      <c r="F29" s="105"/>
      <c r="G29" s="105"/>
      <c r="H29" s="105"/>
      <c r="I29" s="105"/>
      <c r="J29" s="105"/>
      <c r="K29" s="16"/>
    </row>
    <row r="30" spans="1:11" ht="7.5" customHeight="1">
      <c r="A30" s="16"/>
      <c r="B30" s="16"/>
      <c r="C30" s="16"/>
      <c r="D30" s="16"/>
      <c r="E30" s="16"/>
      <c r="F30" s="16"/>
      <c r="G30" s="16"/>
      <c r="H30" s="16"/>
      <c r="I30" s="16"/>
      <c r="J30" s="16"/>
      <c r="K30" s="16"/>
    </row>
    <row r="31" spans="1:11">
      <c r="A31" s="16"/>
      <c r="B31" s="16"/>
      <c r="C31" s="16"/>
      <c r="D31" s="16"/>
      <c r="E31" s="16"/>
      <c r="F31" s="16"/>
      <c r="G31" s="16"/>
      <c r="H31" s="16"/>
      <c r="I31" s="16"/>
      <c r="J31" s="16"/>
      <c r="K31" s="16"/>
    </row>
    <row r="32" spans="1:11">
      <c r="A32" s="28" t="str">
        <f>HYPERLINK("[UKMY 2023 PrintableV1.1 12_09_24.xlsx]Contents!A1","Return to contents page")</f>
        <v>Return to contents page</v>
      </c>
      <c r="B32" s="16"/>
      <c r="C32" s="16"/>
      <c r="D32" s="16"/>
      <c r="E32" s="16"/>
      <c r="F32" s="16"/>
      <c r="G32" s="16"/>
      <c r="H32" s="16"/>
      <c r="I32" s="16"/>
      <c r="J32" s="16"/>
      <c r="K32" s="16"/>
    </row>
    <row r="33" spans="1:11">
      <c r="A33" s="16"/>
      <c r="B33" s="16"/>
      <c r="C33" s="16"/>
      <c r="D33" s="16"/>
      <c r="E33" s="16"/>
      <c r="F33" s="16"/>
      <c r="G33" s="16"/>
      <c r="H33" s="16"/>
      <c r="I33" s="16"/>
      <c r="J33" s="16"/>
      <c r="K33" s="16"/>
    </row>
    <row r="64" spans="5:5">
      <c r="E64" s="47"/>
    </row>
  </sheetData>
  <mergeCells count="1">
    <mergeCell ref="A29:J29"/>
  </mergeCells>
  <pageMargins left="0.7" right="0.7" top="0.75" bottom="0.75" header="0.3" footer="0.3"/>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93901-C503-4E93-B4F6-D5D5F9B37451}">
  <dimension ref="A1:Q64"/>
  <sheetViews>
    <sheetView view="pageBreakPreview" zoomScaleNormal="100" zoomScaleSheetLayoutView="100" workbookViewId="0">
      <selection activeCell="K2" sqref="K2"/>
    </sheetView>
  </sheetViews>
  <sheetFormatPr defaultColWidth="30.453125" defaultRowHeight="14"/>
  <cols>
    <col min="1" max="1" width="33.1796875" style="13" customWidth="1"/>
    <col min="2" max="17" width="5.54296875" style="13" customWidth="1"/>
    <col min="18" max="16384" width="30.453125" style="13"/>
  </cols>
  <sheetData>
    <row r="1" spans="1:17">
      <c r="A1" s="107" t="s">
        <v>827</v>
      </c>
      <c r="B1" s="107"/>
      <c r="C1" s="107"/>
      <c r="D1" s="107"/>
      <c r="E1" s="107"/>
      <c r="F1" s="107"/>
      <c r="G1" s="107"/>
      <c r="H1" s="107"/>
      <c r="I1" s="107"/>
      <c r="J1" s="107"/>
      <c r="K1" s="107"/>
      <c r="L1" s="107"/>
      <c r="M1" s="107"/>
      <c r="N1" s="107"/>
    </row>
    <row r="2" spans="1:17" ht="107.25" customHeight="1">
      <c r="A2" s="23" t="s">
        <v>0</v>
      </c>
      <c r="B2" s="50" t="s">
        <v>152</v>
      </c>
      <c r="C2" s="50" t="s">
        <v>153</v>
      </c>
      <c r="D2" s="50" t="s">
        <v>154</v>
      </c>
      <c r="E2" s="50" t="s">
        <v>155</v>
      </c>
      <c r="F2" s="50" t="s">
        <v>198</v>
      </c>
      <c r="G2" s="50" t="s">
        <v>197</v>
      </c>
      <c r="H2" s="50" t="s">
        <v>156</v>
      </c>
      <c r="I2" s="50" t="s">
        <v>196</v>
      </c>
      <c r="J2" s="50" t="s">
        <v>195</v>
      </c>
      <c r="K2" s="50" t="s">
        <v>351</v>
      </c>
      <c r="L2" s="50" t="s">
        <v>157</v>
      </c>
      <c r="M2" s="50" t="s">
        <v>158</v>
      </c>
      <c r="N2" s="50" t="s">
        <v>194</v>
      </c>
      <c r="O2" s="50" t="s">
        <v>159</v>
      </c>
      <c r="P2" s="50" t="s">
        <v>193</v>
      </c>
      <c r="Q2" s="30" t="s">
        <v>160</v>
      </c>
    </row>
    <row r="3" spans="1:17">
      <c r="A3" s="16" t="s">
        <v>161</v>
      </c>
      <c r="B3" s="16"/>
      <c r="C3" s="16">
        <v>6</v>
      </c>
      <c r="D3" s="16"/>
      <c r="E3" s="16">
        <v>9</v>
      </c>
      <c r="F3" s="16">
        <v>2</v>
      </c>
      <c r="G3" s="16"/>
      <c r="H3" s="16"/>
      <c r="I3" s="16"/>
      <c r="J3" s="16"/>
      <c r="K3" s="16">
        <v>17</v>
      </c>
      <c r="L3" s="16">
        <v>1</v>
      </c>
      <c r="M3" s="16"/>
      <c r="N3" s="16"/>
      <c r="O3" s="16"/>
      <c r="P3" s="16"/>
      <c r="Q3" s="16">
        <v>18</v>
      </c>
    </row>
    <row r="4" spans="1:17">
      <c r="A4" s="16" t="s">
        <v>162</v>
      </c>
      <c r="B4" s="16"/>
      <c r="C4" s="16"/>
      <c r="D4" s="16"/>
      <c r="E4" s="16"/>
      <c r="F4" s="16">
        <v>1</v>
      </c>
      <c r="G4" s="16"/>
      <c r="H4" s="16"/>
      <c r="I4" s="16"/>
      <c r="J4" s="16"/>
      <c r="K4" s="16">
        <v>1</v>
      </c>
      <c r="L4" s="16"/>
      <c r="M4" s="16"/>
      <c r="N4" s="16"/>
      <c r="O4" s="16"/>
      <c r="P4" s="16"/>
      <c r="Q4" s="16">
        <v>1</v>
      </c>
    </row>
    <row r="5" spans="1:17">
      <c r="A5" s="16" t="s">
        <v>163</v>
      </c>
      <c r="B5" s="16"/>
      <c r="C5" s="16"/>
      <c r="D5" s="16"/>
      <c r="E5" s="16"/>
      <c r="F5" s="16"/>
      <c r="G5" s="16"/>
      <c r="H5" s="16"/>
      <c r="I5" s="16"/>
      <c r="J5" s="16">
        <v>19</v>
      </c>
      <c r="K5" s="16">
        <v>19</v>
      </c>
      <c r="L5" s="16"/>
      <c r="M5" s="16"/>
      <c r="N5" s="16"/>
      <c r="O5" s="16"/>
      <c r="P5" s="16"/>
      <c r="Q5" s="16">
        <v>19</v>
      </c>
    </row>
    <row r="6" spans="1:17">
      <c r="A6" s="16" t="s">
        <v>109</v>
      </c>
      <c r="B6" s="16"/>
      <c r="C6" s="16"/>
      <c r="D6" s="16"/>
      <c r="E6" s="16"/>
      <c r="F6" s="16"/>
      <c r="G6" s="16"/>
      <c r="H6" s="16"/>
      <c r="I6" s="16"/>
      <c r="J6" s="16"/>
      <c r="K6" s="16"/>
      <c r="L6" s="16"/>
      <c r="M6" s="16">
        <v>2</v>
      </c>
      <c r="N6" s="16"/>
      <c r="O6" s="16"/>
      <c r="P6" s="16"/>
      <c r="Q6" s="16">
        <v>2</v>
      </c>
    </row>
    <row r="7" spans="1:17">
      <c r="A7" s="16" t="s">
        <v>164</v>
      </c>
      <c r="B7" s="16"/>
      <c r="C7" s="16"/>
      <c r="D7" s="16"/>
      <c r="E7" s="16"/>
      <c r="F7" s="16"/>
      <c r="G7" s="16"/>
      <c r="H7" s="16"/>
      <c r="I7" s="16">
        <v>2</v>
      </c>
      <c r="J7" s="16"/>
      <c r="K7" s="16">
        <v>2</v>
      </c>
      <c r="L7" s="16"/>
      <c r="M7" s="16"/>
      <c r="N7" s="16"/>
      <c r="O7" s="16"/>
      <c r="P7" s="16"/>
      <c r="Q7" s="16">
        <v>2</v>
      </c>
    </row>
    <row r="8" spans="1:17">
      <c r="A8" s="16" t="s">
        <v>165</v>
      </c>
      <c r="B8" s="16"/>
      <c r="C8" s="16">
        <v>13</v>
      </c>
      <c r="D8" s="16"/>
      <c r="E8" s="16">
        <v>3</v>
      </c>
      <c r="F8" s="16"/>
      <c r="G8" s="16">
        <v>9</v>
      </c>
      <c r="H8" s="16"/>
      <c r="I8" s="16">
        <v>17</v>
      </c>
      <c r="J8" s="16">
        <v>1</v>
      </c>
      <c r="K8" s="16">
        <v>43</v>
      </c>
      <c r="L8" s="16"/>
      <c r="M8" s="16"/>
      <c r="N8" s="16"/>
      <c r="O8" s="16">
        <v>4</v>
      </c>
      <c r="P8" s="16"/>
      <c r="Q8" s="16">
        <v>47</v>
      </c>
    </row>
    <row r="9" spans="1:17">
      <c r="A9" s="16" t="s">
        <v>166</v>
      </c>
      <c r="B9" s="16"/>
      <c r="C9" s="16"/>
      <c r="D9" s="16"/>
      <c r="E9" s="16"/>
      <c r="F9" s="16"/>
      <c r="G9" s="16"/>
      <c r="H9" s="16"/>
      <c r="I9" s="16"/>
      <c r="J9" s="16">
        <v>13</v>
      </c>
      <c r="K9" s="16">
        <v>13</v>
      </c>
      <c r="L9" s="16"/>
      <c r="M9" s="16"/>
      <c r="N9" s="16"/>
      <c r="O9" s="16"/>
      <c r="P9" s="16"/>
      <c r="Q9" s="16">
        <v>13</v>
      </c>
    </row>
    <row r="10" spans="1:17">
      <c r="A10" s="16" t="s">
        <v>167</v>
      </c>
      <c r="B10" s="16"/>
      <c r="C10" s="16"/>
      <c r="D10" s="16"/>
      <c r="E10" s="16"/>
      <c r="F10" s="16"/>
      <c r="G10" s="16"/>
      <c r="H10" s="16"/>
      <c r="I10" s="16"/>
      <c r="J10" s="16">
        <v>6</v>
      </c>
      <c r="K10" s="16">
        <v>6</v>
      </c>
      <c r="L10" s="16"/>
      <c r="M10" s="16"/>
      <c r="N10" s="16"/>
      <c r="O10" s="16"/>
      <c r="P10" s="16"/>
      <c r="Q10" s="16">
        <v>6</v>
      </c>
    </row>
    <row r="11" spans="1:17">
      <c r="A11" s="16" t="s">
        <v>168</v>
      </c>
      <c r="B11" s="16">
        <v>5</v>
      </c>
      <c r="C11" s="16">
        <v>21</v>
      </c>
      <c r="D11" s="16">
        <v>15</v>
      </c>
      <c r="E11" s="16">
        <v>16</v>
      </c>
      <c r="F11" s="16">
        <v>22</v>
      </c>
      <c r="G11" s="16">
        <v>5</v>
      </c>
      <c r="H11" s="16"/>
      <c r="I11" s="16">
        <v>21</v>
      </c>
      <c r="J11" s="16">
        <v>9</v>
      </c>
      <c r="K11" s="16">
        <v>114</v>
      </c>
      <c r="L11" s="16">
        <v>8</v>
      </c>
      <c r="M11" s="16">
        <v>3</v>
      </c>
      <c r="N11" s="16"/>
      <c r="O11" s="16">
        <v>5</v>
      </c>
      <c r="P11" s="16"/>
      <c r="Q11" s="16">
        <v>130</v>
      </c>
    </row>
    <row r="12" spans="1:17">
      <c r="A12" s="16" t="s">
        <v>169</v>
      </c>
      <c r="B12" s="16">
        <v>1</v>
      </c>
      <c r="C12" s="16"/>
      <c r="D12" s="16"/>
      <c r="E12" s="16"/>
      <c r="F12" s="16"/>
      <c r="G12" s="16"/>
      <c r="H12" s="16"/>
      <c r="I12" s="16"/>
      <c r="J12" s="16"/>
      <c r="K12" s="16">
        <v>1</v>
      </c>
      <c r="L12" s="16">
        <v>2</v>
      </c>
      <c r="M12" s="16"/>
      <c r="N12" s="16"/>
      <c r="O12" s="16"/>
      <c r="P12" s="16"/>
      <c r="Q12" s="16">
        <v>3</v>
      </c>
    </row>
    <row r="13" spans="1:17">
      <c r="A13" s="16" t="s">
        <v>170</v>
      </c>
      <c r="B13" s="16"/>
      <c r="C13" s="16"/>
      <c r="D13" s="16"/>
      <c r="E13" s="16"/>
      <c r="F13" s="16"/>
      <c r="G13" s="16"/>
      <c r="H13" s="16"/>
      <c r="I13" s="16"/>
      <c r="J13" s="16"/>
      <c r="K13" s="16"/>
      <c r="L13" s="16">
        <v>1</v>
      </c>
      <c r="M13" s="16"/>
      <c r="N13" s="16"/>
      <c r="O13" s="16"/>
      <c r="P13" s="16"/>
      <c r="Q13" s="16">
        <v>1</v>
      </c>
    </row>
    <row r="14" spans="1:17">
      <c r="A14" s="16" t="s">
        <v>171</v>
      </c>
      <c r="B14" s="16"/>
      <c r="C14" s="16"/>
      <c r="D14" s="16">
        <v>1</v>
      </c>
      <c r="E14" s="16"/>
      <c r="F14" s="16"/>
      <c r="G14" s="16"/>
      <c r="H14" s="16"/>
      <c r="I14" s="16"/>
      <c r="J14" s="16"/>
      <c r="K14" s="16">
        <v>1</v>
      </c>
      <c r="L14" s="16"/>
      <c r="M14" s="16"/>
      <c r="N14" s="16"/>
      <c r="O14" s="16"/>
      <c r="P14" s="16"/>
      <c r="Q14" s="16">
        <v>1</v>
      </c>
    </row>
    <row r="15" spans="1:17">
      <c r="A15" s="16" t="s">
        <v>111</v>
      </c>
      <c r="B15" s="16"/>
      <c r="C15" s="16">
        <v>4</v>
      </c>
      <c r="D15" s="16"/>
      <c r="E15" s="16">
        <v>1</v>
      </c>
      <c r="F15" s="16">
        <v>1</v>
      </c>
      <c r="G15" s="16"/>
      <c r="H15" s="16"/>
      <c r="I15" s="16"/>
      <c r="J15" s="16"/>
      <c r="K15" s="16">
        <v>6</v>
      </c>
      <c r="L15" s="16"/>
      <c r="M15" s="16"/>
      <c r="N15" s="16"/>
      <c r="O15" s="16"/>
      <c r="P15" s="16"/>
      <c r="Q15" s="16">
        <v>6</v>
      </c>
    </row>
    <row r="16" spans="1:17">
      <c r="A16" s="16" t="s">
        <v>172</v>
      </c>
      <c r="B16" s="16"/>
      <c r="C16" s="16">
        <v>1</v>
      </c>
      <c r="D16" s="16"/>
      <c r="E16" s="16"/>
      <c r="F16" s="16"/>
      <c r="G16" s="16">
        <v>5</v>
      </c>
      <c r="H16" s="16"/>
      <c r="I16" s="16">
        <v>2</v>
      </c>
      <c r="J16" s="16"/>
      <c r="K16" s="16">
        <v>8</v>
      </c>
      <c r="L16" s="16"/>
      <c r="M16" s="16"/>
      <c r="N16" s="16"/>
      <c r="O16" s="16"/>
      <c r="P16" s="16"/>
      <c r="Q16" s="16">
        <v>8</v>
      </c>
    </row>
    <row r="17" spans="1:17">
      <c r="A17" s="16" t="s">
        <v>61</v>
      </c>
      <c r="B17" s="16">
        <v>3</v>
      </c>
      <c r="C17" s="16"/>
      <c r="D17" s="16"/>
      <c r="E17" s="16">
        <v>1</v>
      </c>
      <c r="F17" s="16"/>
      <c r="G17" s="16"/>
      <c r="H17" s="16"/>
      <c r="I17" s="16"/>
      <c r="J17" s="16"/>
      <c r="K17" s="16">
        <v>4</v>
      </c>
      <c r="L17" s="16"/>
      <c r="M17" s="16"/>
      <c r="N17" s="16"/>
      <c r="O17" s="16"/>
      <c r="P17" s="16"/>
      <c r="Q17" s="16">
        <v>4</v>
      </c>
    </row>
    <row r="18" spans="1:17">
      <c r="A18" s="16" t="s">
        <v>46</v>
      </c>
      <c r="B18" s="16"/>
      <c r="C18" s="16"/>
      <c r="D18" s="16"/>
      <c r="E18" s="16"/>
      <c r="F18" s="16"/>
      <c r="G18" s="16"/>
      <c r="H18" s="16"/>
      <c r="I18" s="16"/>
      <c r="J18" s="16"/>
      <c r="K18" s="16"/>
      <c r="L18" s="16"/>
      <c r="M18" s="16"/>
      <c r="N18" s="16"/>
      <c r="O18" s="16">
        <v>1</v>
      </c>
      <c r="P18" s="16"/>
      <c r="Q18" s="16">
        <v>1</v>
      </c>
    </row>
    <row r="19" spans="1:17">
      <c r="A19" s="16" t="s">
        <v>173</v>
      </c>
      <c r="B19" s="16"/>
      <c r="C19" s="16"/>
      <c r="D19" s="16"/>
      <c r="E19" s="16"/>
      <c r="F19" s="16"/>
      <c r="G19" s="16"/>
      <c r="H19" s="16"/>
      <c r="I19" s="16">
        <v>1</v>
      </c>
      <c r="J19" s="16"/>
      <c r="K19" s="16">
        <v>1</v>
      </c>
      <c r="L19" s="16"/>
      <c r="M19" s="16"/>
      <c r="N19" s="16"/>
      <c r="O19" s="16"/>
      <c r="P19" s="16"/>
      <c r="Q19" s="16">
        <v>1</v>
      </c>
    </row>
    <row r="20" spans="1:17">
      <c r="A20" s="16" t="s">
        <v>174</v>
      </c>
      <c r="B20" s="16"/>
      <c r="C20" s="16"/>
      <c r="D20" s="16">
        <v>1</v>
      </c>
      <c r="E20" s="16">
        <v>4</v>
      </c>
      <c r="F20" s="16">
        <v>1</v>
      </c>
      <c r="G20" s="16"/>
      <c r="H20" s="16"/>
      <c r="I20" s="16">
        <v>1</v>
      </c>
      <c r="J20" s="16"/>
      <c r="K20" s="16">
        <v>7</v>
      </c>
      <c r="L20" s="16"/>
      <c r="M20" s="16"/>
      <c r="N20" s="16"/>
      <c r="O20" s="16"/>
      <c r="P20" s="16"/>
      <c r="Q20" s="16">
        <v>7</v>
      </c>
    </row>
    <row r="21" spans="1:17">
      <c r="A21" s="16" t="s">
        <v>175</v>
      </c>
      <c r="B21" s="16">
        <v>8</v>
      </c>
      <c r="C21" s="16"/>
      <c r="D21" s="16">
        <v>3</v>
      </c>
      <c r="E21" s="16">
        <v>8</v>
      </c>
      <c r="F21" s="16">
        <v>4</v>
      </c>
      <c r="G21" s="16"/>
      <c r="H21" s="16"/>
      <c r="I21" s="16"/>
      <c r="J21" s="16">
        <v>14</v>
      </c>
      <c r="K21" s="16">
        <v>37</v>
      </c>
      <c r="L21" s="16">
        <v>17</v>
      </c>
      <c r="M21" s="16">
        <v>133</v>
      </c>
      <c r="N21" s="16">
        <v>2</v>
      </c>
      <c r="O21" s="16">
        <v>50</v>
      </c>
      <c r="P21" s="16">
        <v>4</v>
      </c>
      <c r="Q21" s="16">
        <v>243</v>
      </c>
    </row>
    <row r="22" spans="1:17">
      <c r="A22" s="16" t="s">
        <v>176</v>
      </c>
      <c r="B22" s="16"/>
      <c r="C22" s="16"/>
      <c r="D22" s="16"/>
      <c r="E22" s="16"/>
      <c r="F22" s="16"/>
      <c r="G22" s="16"/>
      <c r="H22" s="16"/>
      <c r="I22" s="16">
        <v>1</v>
      </c>
      <c r="J22" s="16"/>
      <c r="K22" s="16">
        <v>1</v>
      </c>
      <c r="L22" s="16"/>
      <c r="M22" s="16"/>
      <c r="N22" s="16"/>
      <c r="O22" s="16"/>
      <c r="P22" s="16"/>
      <c r="Q22" s="16">
        <v>1</v>
      </c>
    </row>
    <row r="23" spans="1:17">
      <c r="A23" s="16" t="s">
        <v>177</v>
      </c>
      <c r="B23" s="16"/>
      <c r="C23" s="16"/>
      <c r="D23" s="16"/>
      <c r="E23" s="16"/>
      <c r="F23" s="16"/>
      <c r="G23" s="16"/>
      <c r="H23" s="16"/>
      <c r="I23" s="16">
        <v>3</v>
      </c>
      <c r="J23" s="16"/>
      <c r="K23" s="16">
        <v>3</v>
      </c>
      <c r="L23" s="16"/>
      <c r="M23" s="16"/>
      <c r="N23" s="16"/>
      <c r="O23" s="16"/>
      <c r="P23" s="16"/>
      <c r="Q23" s="16">
        <v>3</v>
      </c>
    </row>
    <row r="24" spans="1:17">
      <c r="A24" s="16" t="s">
        <v>95</v>
      </c>
      <c r="B24" s="16"/>
      <c r="C24" s="16"/>
      <c r="D24" s="16"/>
      <c r="E24" s="16"/>
      <c r="F24" s="16"/>
      <c r="G24" s="16"/>
      <c r="H24" s="16"/>
      <c r="I24" s="16"/>
      <c r="J24" s="16"/>
      <c r="K24" s="16"/>
      <c r="L24" s="16"/>
      <c r="M24" s="16"/>
      <c r="N24" s="16"/>
      <c r="O24" s="16">
        <v>1</v>
      </c>
      <c r="P24" s="16"/>
      <c r="Q24" s="16">
        <v>1</v>
      </c>
    </row>
    <row r="25" spans="1:17">
      <c r="A25" s="16" t="s">
        <v>178</v>
      </c>
      <c r="B25" s="16">
        <v>15</v>
      </c>
      <c r="C25" s="16">
        <v>34</v>
      </c>
      <c r="D25" s="16">
        <v>18</v>
      </c>
      <c r="E25" s="16">
        <v>60</v>
      </c>
      <c r="F25" s="16">
        <v>7</v>
      </c>
      <c r="G25" s="16">
        <v>3</v>
      </c>
      <c r="H25" s="16"/>
      <c r="I25" s="16">
        <v>10</v>
      </c>
      <c r="J25" s="16">
        <v>93</v>
      </c>
      <c r="K25" s="16">
        <v>240</v>
      </c>
      <c r="L25" s="16">
        <v>37</v>
      </c>
      <c r="M25" s="16">
        <v>14</v>
      </c>
      <c r="N25" s="16">
        <v>2</v>
      </c>
      <c r="O25" s="16">
        <v>19</v>
      </c>
      <c r="P25" s="16"/>
      <c r="Q25" s="16">
        <v>312</v>
      </c>
    </row>
    <row r="26" spans="1:17">
      <c r="A26" s="16" t="s">
        <v>179</v>
      </c>
      <c r="B26" s="16"/>
      <c r="C26" s="16"/>
      <c r="D26" s="16"/>
      <c r="E26" s="16"/>
      <c r="F26" s="16"/>
      <c r="G26" s="16"/>
      <c r="H26" s="16"/>
      <c r="I26" s="16"/>
      <c r="J26" s="16"/>
      <c r="K26" s="16"/>
      <c r="L26" s="16"/>
      <c r="M26" s="16"/>
      <c r="N26" s="16"/>
      <c r="O26" s="16">
        <v>2</v>
      </c>
      <c r="P26" s="16"/>
      <c r="Q26" s="16">
        <v>2</v>
      </c>
    </row>
    <row r="27" spans="1:17">
      <c r="A27" s="16" t="s">
        <v>180</v>
      </c>
      <c r="B27" s="16"/>
      <c r="C27" s="16"/>
      <c r="D27" s="16"/>
      <c r="E27" s="16"/>
      <c r="F27" s="16"/>
      <c r="G27" s="16"/>
      <c r="H27" s="16"/>
      <c r="I27" s="16"/>
      <c r="J27" s="16"/>
      <c r="K27" s="16"/>
      <c r="L27" s="16"/>
      <c r="M27" s="16">
        <v>1</v>
      </c>
      <c r="N27" s="16"/>
      <c r="O27" s="16"/>
      <c r="P27" s="16"/>
      <c r="Q27" s="16">
        <v>1</v>
      </c>
    </row>
    <row r="28" spans="1:17">
      <c r="A28" s="16" t="s">
        <v>181</v>
      </c>
      <c r="B28" s="16"/>
      <c r="C28" s="16">
        <v>13</v>
      </c>
      <c r="D28" s="16">
        <v>1</v>
      </c>
      <c r="E28" s="16">
        <v>3</v>
      </c>
      <c r="F28" s="16"/>
      <c r="G28" s="16"/>
      <c r="H28" s="16"/>
      <c r="I28" s="16">
        <v>1</v>
      </c>
      <c r="J28" s="16">
        <v>1</v>
      </c>
      <c r="K28" s="16">
        <v>19</v>
      </c>
      <c r="L28" s="16"/>
      <c r="M28" s="16"/>
      <c r="N28" s="16"/>
      <c r="O28" s="16"/>
      <c r="P28" s="16"/>
      <c r="Q28" s="16">
        <v>19</v>
      </c>
    </row>
    <row r="29" spans="1:17">
      <c r="A29" s="16" t="s">
        <v>182</v>
      </c>
      <c r="B29" s="16"/>
      <c r="C29" s="16"/>
      <c r="D29" s="16"/>
      <c r="E29" s="16"/>
      <c r="F29" s="16"/>
      <c r="G29" s="16"/>
      <c r="H29" s="16"/>
      <c r="I29" s="16"/>
      <c r="J29" s="16">
        <v>1</v>
      </c>
      <c r="K29" s="16">
        <v>1</v>
      </c>
      <c r="L29" s="16"/>
      <c r="M29" s="16"/>
      <c r="N29" s="16"/>
      <c r="O29" s="16"/>
      <c r="P29" s="16"/>
      <c r="Q29" s="16">
        <v>1</v>
      </c>
    </row>
    <row r="30" spans="1:17">
      <c r="A30" s="16" t="s">
        <v>183</v>
      </c>
      <c r="B30" s="16"/>
      <c r="C30" s="16">
        <v>3</v>
      </c>
      <c r="D30" s="16"/>
      <c r="E30" s="16">
        <v>82</v>
      </c>
      <c r="F30" s="16"/>
      <c r="G30" s="16"/>
      <c r="H30" s="16"/>
      <c r="I30" s="16">
        <v>23</v>
      </c>
      <c r="J30" s="16">
        <v>4</v>
      </c>
      <c r="K30" s="16">
        <v>112</v>
      </c>
      <c r="L30" s="16"/>
      <c r="M30" s="16"/>
      <c r="N30" s="16"/>
      <c r="O30" s="16"/>
      <c r="P30" s="16"/>
      <c r="Q30" s="16">
        <v>112</v>
      </c>
    </row>
    <row r="31" spans="1:17">
      <c r="A31" s="16" t="s">
        <v>113</v>
      </c>
      <c r="B31" s="16"/>
      <c r="C31" s="16">
        <v>1</v>
      </c>
      <c r="D31" s="16">
        <v>3</v>
      </c>
      <c r="E31" s="16"/>
      <c r="F31" s="16"/>
      <c r="G31" s="16"/>
      <c r="H31" s="16"/>
      <c r="I31" s="16"/>
      <c r="J31" s="16">
        <v>38</v>
      </c>
      <c r="K31" s="16">
        <v>42</v>
      </c>
      <c r="L31" s="16">
        <v>1</v>
      </c>
      <c r="M31" s="16">
        <v>18</v>
      </c>
      <c r="N31" s="16"/>
      <c r="O31" s="16">
        <v>8</v>
      </c>
      <c r="P31" s="16"/>
      <c r="Q31" s="16">
        <v>69</v>
      </c>
    </row>
    <row r="32" spans="1:17">
      <c r="A32" s="16" t="s">
        <v>60</v>
      </c>
      <c r="B32" s="16"/>
      <c r="C32" s="16">
        <v>2</v>
      </c>
      <c r="D32" s="16"/>
      <c r="E32" s="16"/>
      <c r="F32" s="16"/>
      <c r="G32" s="16"/>
      <c r="H32" s="16"/>
      <c r="I32" s="16"/>
      <c r="J32" s="16"/>
      <c r="K32" s="16">
        <v>2</v>
      </c>
      <c r="L32" s="16"/>
      <c r="M32" s="16"/>
      <c r="N32" s="16"/>
      <c r="O32" s="16"/>
      <c r="P32" s="16"/>
      <c r="Q32" s="16">
        <v>2</v>
      </c>
    </row>
    <row r="33" spans="1:17">
      <c r="A33" s="16" t="s">
        <v>59</v>
      </c>
      <c r="B33" s="16"/>
      <c r="C33" s="16">
        <v>1</v>
      </c>
      <c r="D33" s="16"/>
      <c r="E33" s="16"/>
      <c r="F33" s="16"/>
      <c r="G33" s="16"/>
      <c r="H33" s="16"/>
      <c r="I33" s="16"/>
      <c r="J33" s="16"/>
      <c r="K33" s="16">
        <v>1</v>
      </c>
      <c r="L33" s="16"/>
      <c r="M33" s="16"/>
      <c r="N33" s="16"/>
      <c r="O33" s="16"/>
      <c r="P33" s="16"/>
      <c r="Q33" s="16">
        <v>1</v>
      </c>
    </row>
    <row r="34" spans="1:17">
      <c r="A34" s="16" t="s">
        <v>57</v>
      </c>
      <c r="B34" s="16"/>
      <c r="C34" s="16">
        <v>1</v>
      </c>
      <c r="D34" s="16">
        <v>3</v>
      </c>
      <c r="E34" s="16"/>
      <c r="F34" s="16"/>
      <c r="G34" s="16"/>
      <c r="H34" s="16"/>
      <c r="I34" s="16"/>
      <c r="J34" s="16"/>
      <c r="K34" s="16"/>
      <c r="L34" s="16"/>
      <c r="M34" s="16"/>
      <c r="N34" s="16"/>
      <c r="O34" s="16">
        <v>1</v>
      </c>
      <c r="P34" s="16"/>
      <c r="Q34" s="16"/>
    </row>
    <row r="35" spans="1:17">
      <c r="A35" s="16" t="s">
        <v>184</v>
      </c>
      <c r="B35" s="16">
        <v>3</v>
      </c>
      <c r="C35" s="16">
        <v>8</v>
      </c>
      <c r="D35" s="16">
        <v>8</v>
      </c>
      <c r="E35" s="16"/>
      <c r="F35" s="16">
        <v>5</v>
      </c>
      <c r="G35" s="16">
        <v>14</v>
      </c>
      <c r="H35" s="16">
        <v>1</v>
      </c>
      <c r="I35" s="16">
        <v>30</v>
      </c>
      <c r="J35" s="16">
        <v>13</v>
      </c>
      <c r="K35" s="16">
        <v>82</v>
      </c>
      <c r="L35" s="16">
        <v>1</v>
      </c>
      <c r="M35" s="16">
        <v>20</v>
      </c>
      <c r="N35" s="16">
        <v>1</v>
      </c>
      <c r="O35" s="16">
        <v>3</v>
      </c>
      <c r="P35" s="16">
        <v>1</v>
      </c>
      <c r="Q35" s="16">
        <v>108</v>
      </c>
    </row>
    <row r="36" spans="1:17">
      <c r="A36" s="16" t="s">
        <v>185</v>
      </c>
      <c r="B36" s="16">
        <v>5</v>
      </c>
      <c r="C36" s="16">
        <v>22</v>
      </c>
      <c r="D36" s="16">
        <v>17</v>
      </c>
      <c r="E36" s="16">
        <v>36</v>
      </c>
      <c r="F36" s="16">
        <v>29</v>
      </c>
      <c r="G36" s="16">
        <v>84</v>
      </c>
      <c r="H36" s="16">
        <v>10</v>
      </c>
      <c r="I36" s="16">
        <v>40</v>
      </c>
      <c r="J36" s="16">
        <v>22</v>
      </c>
      <c r="K36" s="16">
        <v>265</v>
      </c>
      <c r="L36" s="16">
        <v>15</v>
      </c>
      <c r="M36" s="16">
        <v>107</v>
      </c>
      <c r="N36" s="16">
        <v>1</v>
      </c>
      <c r="O36" s="16">
        <v>66</v>
      </c>
      <c r="P36" s="16"/>
      <c r="Q36" s="16">
        <v>454</v>
      </c>
    </row>
    <row r="37" spans="1:17">
      <c r="A37" s="16" t="s">
        <v>186</v>
      </c>
      <c r="B37" s="16">
        <v>15</v>
      </c>
      <c r="C37" s="16">
        <v>45</v>
      </c>
      <c r="D37" s="16">
        <v>37</v>
      </c>
      <c r="E37" s="16">
        <v>16</v>
      </c>
      <c r="F37" s="16">
        <v>19</v>
      </c>
      <c r="G37" s="16">
        <v>4</v>
      </c>
      <c r="H37" s="16"/>
      <c r="I37" s="16">
        <v>6</v>
      </c>
      <c r="J37" s="16">
        <v>22</v>
      </c>
      <c r="K37" s="16">
        <v>164</v>
      </c>
      <c r="L37" s="16">
        <v>19</v>
      </c>
      <c r="M37" s="16">
        <v>48</v>
      </c>
      <c r="N37" s="16"/>
      <c r="O37" s="16">
        <v>35</v>
      </c>
      <c r="P37" s="16"/>
      <c r="Q37" s="16">
        <v>266</v>
      </c>
    </row>
    <row r="38" spans="1:17">
      <c r="A38" s="16" t="s">
        <v>187</v>
      </c>
      <c r="B38" s="16"/>
      <c r="C38" s="16"/>
      <c r="D38" s="16"/>
      <c r="E38" s="16"/>
      <c r="F38" s="16"/>
      <c r="G38" s="16">
        <v>1</v>
      </c>
      <c r="H38" s="16"/>
      <c r="I38" s="16"/>
      <c r="J38" s="16">
        <v>1</v>
      </c>
      <c r="K38" s="16">
        <v>6</v>
      </c>
      <c r="L38" s="16"/>
      <c r="M38" s="16"/>
      <c r="N38" s="16"/>
      <c r="O38" s="16"/>
      <c r="P38" s="16"/>
      <c r="Q38" s="16">
        <v>7</v>
      </c>
    </row>
    <row r="39" spans="1:17">
      <c r="A39" s="16" t="s">
        <v>188</v>
      </c>
      <c r="B39" s="16"/>
      <c r="C39" s="16"/>
      <c r="D39" s="16">
        <v>1</v>
      </c>
      <c r="E39" s="16"/>
      <c r="F39" s="16"/>
      <c r="G39" s="16">
        <v>1</v>
      </c>
      <c r="H39" s="16"/>
      <c r="I39" s="16"/>
      <c r="J39" s="16"/>
      <c r="K39" s="16">
        <v>2</v>
      </c>
      <c r="L39" s="16"/>
      <c r="M39" s="16">
        <v>2</v>
      </c>
      <c r="N39" s="16"/>
      <c r="O39" s="16"/>
      <c r="P39" s="16"/>
      <c r="Q39" s="16">
        <v>4</v>
      </c>
    </row>
    <row r="40" spans="1:17">
      <c r="A40" s="16" t="s">
        <v>189</v>
      </c>
      <c r="B40" s="16"/>
      <c r="C40" s="16"/>
      <c r="D40" s="16"/>
      <c r="E40" s="16"/>
      <c r="F40" s="16"/>
      <c r="G40" s="16"/>
      <c r="H40" s="16"/>
      <c r="I40" s="16"/>
      <c r="J40" s="16">
        <v>1</v>
      </c>
      <c r="K40" s="16">
        <v>1</v>
      </c>
      <c r="L40" s="16"/>
      <c r="M40" s="16"/>
      <c r="N40" s="16"/>
      <c r="O40" s="16"/>
      <c r="P40" s="16"/>
      <c r="Q40" s="16">
        <v>1</v>
      </c>
    </row>
    <row r="41" spans="1:17">
      <c r="A41" s="16" t="s">
        <v>190</v>
      </c>
      <c r="B41" s="16"/>
      <c r="C41" s="16"/>
      <c r="D41" s="16"/>
      <c r="E41" s="16"/>
      <c r="F41" s="16"/>
      <c r="G41" s="16"/>
      <c r="H41" s="16"/>
      <c r="I41" s="16"/>
      <c r="J41" s="16"/>
      <c r="K41" s="16"/>
      <c r="L41" s="16">
        <v>1</v>
      </c>
      <c r="M41" s="16"/>
      <c r="N41" s="16"/>
      <c r="O41" s="16">
        <v>1</v>
      </c>
      <c r="P41" s="16"/>
      <c r="Q41" s="16">
        <v>2</v>
      </c>
    </row>
    <row r="42" spans="1:17">
      <c r="A42" s="16" t="s">
        <v>191</v>
      </c>
      <c r="B42" s="16"/>
      <c r="C42" s="16">
        <v>2</v>
      </c>
      <c r="D42" s="16">
        <v>4</v>
      </c>
      <c r="E42" s="16">
        <v>1</v>
      </c>
      <c r="F42" s="16"/>
      <c r="G42" s="16">
        <v>7</v>
      </c>
      <c r="H42" s="16"/>
      <c r="I42" s="16">
        <v>8</v>
      </c>
      <c r="J42" s="16">
        <v>1</v>
      </c>
      <c r="K42" s="16">
        <v>23</v>
      </c>
      <c r="L42" s="16"/>
      <c r="M42" s="16">
        <v>4</v>
      </c>
      <c r="N42" s="16"/>
      <c r="O42" s="16"/>
      <c r="P42" s="16"/>
      <c r="Q42" s="16">
        <v>27</v>
      </c>
    </row>
    <row r="43" spans="1:17">
      <c r="A43" s="16" t="s">
        <v>45</v>
      </c>
      <c r="B43" s="16"/>
      <c r="C43" s="16"/>
      <c r="D43" s="16"/>
      <c r="E43" s="16"/>
      <c r="F43" s="16"/>
      <c r="G43" s="16"/>
      <c r="H43" s="16"/>
      <c r="I43" s="16"/>
      <c r="J43" s="16"/>
      <c r="K43" s="16"/>
      <c r="L43" s="16"/>
      <c r="M43" s="16"/>
      <c r="N43" s="16"/>
      <c r="O43" s="16">
        <v>1</v>
      </c>
      <c r="P43" s="16"/>
      <c r="Q43" s="16">
        <v>1</v>
      </c>
    </row>
    <row r="44" spans="1:17">
      <c r="A44" s="16" t="s">
        <v>103</v>
      </c>
      <c r="B44" s="16"/>
      <c r="C44" s="16"/>
      <c r="D44" s="16">
        <v>9</v>
      </c>
      <c r="E44" s="16"/>
      <c r="F44" s="16"/>
      <c r="G44" s="16"/>
      <c r="H44" s="16"/>
      <c r="I44" s="16"/>
      <c r="J44" s="16">
        <v>11</v>
      </c>
      <c r="K44" s="16">
        <v>20</v>
      </c>
      <c r="L44" s="16">
        <v>13</v>
      </c>
      <c r="M44" s="16"/>
      <c r="N44" s="16">
        <v>2</v>
      </c>
      <c r="O44" s="16">
        <v>1</v>
      </c>
      <c r="P44" s="16"/>
      <c r="Q44" s="16">
        <v>36</v>
      </c>
    </row>
    <row r="45" spans="1:17">
      <c r="A45" s="16" t="s">
        <v>192</v>
      </c>
      <c r="B45" s="16"/>
      <c r="C45" s="16"/>
      <c r="D45" s="16">
        <v>3</v>
      </c>
      <c r="E45" s="16"/>
      <c r="F45" s="16"/>
      <c r="G45" s="16"/>
      <c r="H45" s="16"/>
      <c r="I45" s="16"/>
      <c r="J45" s="16"/>
      <c r="K45" s="16">
        <v>3</v>
      </c>
      <c r="L45" s="16">
        <v>16</v>
      </c>
      <c r="M45" s="16">
        <v>1</v>
      </c>
      <c r="N45" s="16"/>
      <c r="O45" s="16"/>
      <c r="P45" s="16"/>
      <c r="Q45" s="16">
        <v>20</v>
      </c>
    </row>
    <row r="46" spans="1:17">
      <c r="A46" s="16" t="s">
        <v>115</v>
      </c>
      <c r="B46" s="16"/>
      <c r="C46" s="16"/>
      <c r="D46" s="16"/>
      <c r="E46" s="16"/>
      <c r="F46" s="16"/>
      <c r="G46" s="16"/>
      <c r="H46" s="16"/>
      <c r="I46" s="16"/>
      <c r="J46" s="16"/>
      <c r="K46" s="16"/>
      <c r="L46" s="16"/>
      <c r="M46" s="16">
        <v>1</v>
      </c>
      <c r="N46" s="16"/>
      <c r="O46" s="16"/>
      <c r="P46" s="16"/>
      <c r="Q46" s="16">
        <v>1</v>
      </c>
    </row>
    <row r="47" spans="1:17">
      <c r="A47" s="16" t="s">
        <v>43</v>
      </c>
      <c r="B47" s="16"/>
      <c r="C47" s="16"/>
      <c r="D47" s="16"/>
      <c r="E47" s="16"/>
      <c r="F47" s="16"/>
      <c r="G47" s="16"/>
      <c r="H47" s="16"/>
      <c r="I47" s="16"/>
      <c r="J47" s="16">
        <v>2</v>
      </c>
      <c r="K47" s="16">
        <v>2</v>
      </c>
      <c r="L47" s="16"/>
      <c r="M47" s="16"/>
      <c r="N47" s="16"/>
      <c r="O47" s="16"/>
      <c r="P47" s="16"/>
      <c r="Q47" s="16">
        <v>2</v>
      </c>
    </row>
    <row r="48" spans="1:17">
      <c r="A48" s="16" t="s">
        <v>44</v>
      </c>
      <c r="B48" s="16"/>
      <c r="C48" s="16"/>
      <c r="D48" s="16"/>
      <c r="E48" s="16"/>
      <c r="F48" s="16"/>
      <c r="G48" s="16"/>
      <c r="H48" s="16"/>
      <c r="I48" s="16"/>
      <c r="J48" s="16">
        <v>1</v>
      </c>
      <c r="K48" s="16">
        <v>1</v>
      </c>
      <c r="L48" s="16"/>
      <c r="M48" s="16"/>
      <c r="N48" s="16"/>
      <c r="O48" s="16"/>
      <c r="P48" s="16"/>
      <c r="Q48" s="16">
        <v>1</v>
      </c>
    </row>
    <row r="49" spans="1:17">
      <c r="A49" s="26"/>
      <c r="B49" s="26"/>
      <c r="C49" s="26"/>
      <c r="D49" s="26"/>
      <c r="E49" s="26"/>
      <c r="F49" s="26"/>
      <c r="G49" s="26"/>
      <c r="H49" s="26"/>
      <c r="I49" s="26"/>
      <c r="J49" s="26"/>
      <c r="K49" s="26"/>
      <c r="L49" s="26"/>
      <c r="M49" s="26"/>
      <c r="N49" s="26"/>
      <c r="O49" s="26"/>
      <c r="P49" s="26"/>
      <c r="Q49" s="26"/>
    </row>
    <row r="50" spans="1:17">
      <c r="A50" s="16"/>
      <c r="B50" s="16"/>
      <c r="C50" s="16"/>
      <c r="D50" s="16"/>
      <c r="E50" s="16"/>
      <c r="F50" s="16"/>
      <c r="G50" s="16"/>
      <c r="H50" s="16"/>
      <c r="I50" s="16"/>
      <c r="J50" s="16"/>
      <c r="K50" s="16"/>
      <c r="L50" s="16"/>
      <c r="M50" s="16"/>
      <c r="N50" s="16"/>
      <c r="O50" s="16"/>
      <c r="P50" s="16"/>
      <c r="Q50" s="16"/>
    </row>
    <row r="51" spans="1:17">
      <c r="A51" s="16" t="s">
        <v>783</v>
      </c>
      <c r="B51" s="16"/>
      <c r="C51" s="16"/>
      <c r="D51" s="16"/>
      <c r="E51" s="16"/>
      <c r="F51" s="16"/>
      <c r="G51" s="16"/>
      <c r="H51" s="16"/>
      <c r="I51" s="16"/>
      <c r="J51" s="16"/>
      <c r="K51" s="16"/>
      <c r="L51" s="16"/>
      <c r="M51" s="16"/>
      <c r="N51" s="16"/>
      <c r="O51" s="16"/>
      <c r="P51" s="16"/>
      <c r="Q51" s="16"/>
    </row>
    <row r="54" spans="1:17">
      <c r="A54" s="46" t="str">
        <f>HYPERLINK("[UKMY 2023 PrintableV1.1 12_09_24.xlsx]Contents!A1","Return to contents page")</f>
        <v>Return to contents page</v>
      </c>
    </row>
    <row r="64" spans="1:17">
      <c r="E64" s="47"/>
    </row>
  </sheetData>
  <mergeCells count="1">
    <mergeCell ref="A1:N1"/>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D1583-B295-4AFC-B402-F82A4020D311}">
  <dimension ref="A1:M64"/>
  <sheetViews>
    <sheetView view="pageBreakPreview" zoomScaleNormal="100" zoomScaleSheetLayoutView="100" workbookViewId="0">
      <selection activeCell="B23" sqref="B23"/>
    </sheetView>
  </sheetViews>
  <sheetFormatPr defaultColWidth="18.26953125" defaultRowHeight="14"/>
  <cols>
    <col min="1" max="1" width="13.26953125" style="13" customWidth="1"/>
    <col min="2" max="2" width="33.81640625" style="13" customWidth="1"/>
    <col min="3" max="3" width="14.54296875" style="13" bestFit="1" customWidth="1"/>
    <col min="4" max="4" width="2.1796875" style="13" bestFit="1" customWidth="1"/>
    <col min="5" max="5" width="11.54296875" style="13" bestFit="1" customWidth="1"/>
    <col min="6" max="6" width="2.1796875" style="13" bestFit="1" customWidth="1"/>
    <col min="7" max="7" width="11.54296875" style="13" bestFit="1" customWidth="1"/>
    <col min="8" max="8" width="2.1796875" style="13" bestFit="1" customWidth="1"/>
    <col min="9" max="9" width="11.54296875" style="13" bestFit="1" customWidth="1"/>
    <col min="10" max="10" width="2.1796875" style="13" bestFit="1" customWidth="1"/>
    <col min="11" max="11" width="11.54296875" style="13" bestFit="1" customWidth="1"/>
    <col min="12" max="12" width="2.1796875" style="13" bestFit="1" customWidth="1"/>
    <col min="13" max="13" width="11.54296875" style="13" bestFit="1" customWidth="1"/>
    <col min="14" max="14" width="12.81640625" style="13" bestFit="1" customWidth="1"/>
    <col min="15" max="16384" width="18.26953125" style="13"/>
  </cols>
  <sheetData>
    <row r="1" spans="1:13" ht="15.5">
      <c r="A1" s="51" t="s">
        <v>199</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200</v>
      </c>
      <c r="C3" s="13" t="s">
        <v>829</v>
      </c>
      <c r="E3" s="52">
        <v>11982</v>
      </c>
      <c r="F3" s="52"/>
      <c r="G3" s="52">
        <v>41067</v>
      </c>
      <c r="H3" s="52"/>
      <c r="I3" s="52">
        <v>7634</v>
      </c>
      <c r="J3" s="52"/>
      <c r="K3" s="52">
        <v>8649</v>
      </c>
      <c r="L3" s="52"/>
      <c r="M3" s="52">
        <v>6797</v>
      </c>
    </row>
    <row r="4" spans="1:13">
      <c r="A4" s="13" t="s">
        <v>19</v>
      </c>
      <c r="B4" s="13" t="s">
        <v>200</v>
      </c>
      <c r="C4" s="13" t="s">
        <v>836</v>
      </c>
      <c r="E4" s="52">
        <v>5418781</v>
      </c>
      <c r="F4" s="52"/>
      <c r="G4" s="52">
        <v>3040649</v>
      </c>
      <c r="H4" s="52"/>
      <c r="I4" s="52">
        <v>1646227</v>
      </c>
      <c r="J4" s="52"/>
      <c r="K4" s="52">
        <v>2608956</v>
      </c>
      <c r="L4" s="52"/>
      <c r="M4" s="52">
        <v>1976340</v>
      </c>
    </row>
    <row r="5" spans="1:13">
      <c r="A5" s="13" t="s">
        <v>19</v>
      </c>
      <c r="B5" s="13" t="s">
        <v>773</v>
      </c>
      <c r="C5" s="13" t="s">
        <v>829</v>
      </c>
      <c r="E5" s="52">
        <v>9233</v>
      </c>
      <c r="F5" s="52"/>
      <c r="G5" s="52">
        <v>10169</v>
      </c>
      <c r="H5" s="52"/>
      <c r="I5" s="52">
        <v>7163</v>
      </c>
      <c r="J5" s="52"/>
      <c r="K5" s="52">
        <v>8480</v>
      </c>
      <c r="L5" s="52"/>
      <c r="M5" s="52">
        <v>15922</v>
      </c>
    </row>
    <row r="6" spans="1:13">
      <c r="A6" s="13" t="s">
        <v>19</v>
      </c>
      <c r="B6" s="13" t="s">
        <v>773</v>
      </c>
      <c r="C6" s="13" t="s">
        <v>836</v>
      </c>
      <c r="E6" s="52">
        <v>45</v>
      </c>
      <c r="F6" s="52"/>
      <c r="G6" s="52">
        <v>34</v>
      </c>
      <c r="H6" s="52"/>
      <c r="I6" s="52">
        <v>30</v>
      </c>
      <c r="J6" s="52"/>
      <c r="K6" s="52">
        <v>37</v>
      </c>
      <c r="L6" s="52"/>
      <c r="M6" s="52">
        <v>36</v>
      </c>
    </row>
    <row r="7" spans="1:13">
      <c r="A7" s="13" t="s">
        <v>19</v>
      </c>
      <c r="B7" s="13" t="s">
        <v>202</v>
      </c>
      <c r="C7" s="13" t="s">
        <v>829</v>
      </c>
      <c r="E7" s="52">
        <v>717</v>
      </c>
      <c r="F7" s="52"/>
      <c r="G7" s="52">
        <v>654</v>
      </c>
      <c r="H7" s="52"/>
      <c r="I7" s="52">
        <v>648</v>
      </c>
      <c r="J7" s="52"/>
      <c r="K7" s="52">
        <v>570</v>
      </c>
      <c r="L7" s="52"/>
      <c r="M7" s="52">
        <v>24100</v>
      </c>
    </row>
    <row r="8" spans="1:13">
      <c r="A8" s="13" t="s">
        <v>19</v>
      </c>
      <c r="B8" s="13" t="s">
        <v>202</v>
      </c>
      <c r="C8" s="13" t="s">
        <v>201</v>
      </c>
      <c r="E8" s="52">
        <v>2131</v>
      </c>
      <c r="F8" s="52"/>
      <c r="G8" s="52">
        <v>1550</v>
      </c>
      <c r="H8" s="52"/>
      <c r="I8" s="52">
        <v>1280</v>
      </c>
      <c r="J8" s="52"/>
      <c r="K8" s="52">
        <v>1301</v>
      </c>
      <c r="L8" s="52"/>
      <c r="M8" s="52">
        <v>629325</v>
      </c>
    </row>
    <row r="9" spans="1:13">
      <c r="A9" s="13" t="s">
        <v>19</v>
      </c>
      <c r="B9" s="13" t="s">
        <v>203</v>
      </c>
      <c r="C9" s="13" t="s">
        <v>829</v>
      </c>
      <c r="E9" s="52">
        <v>2822</v>
      </c>
      <c r="F9" s="52"/>
      <c r="G9" s="52">
        <v>3533</v>
      </c>
      <c r="H9" s="52"/>
      <c r="I9" s="52">
        <v>1845</v>
      </c>
      <c r="J9" s="52"/>
      <c r="K9" s="52">
        <v>1969</v>
      </c>
      <c r="L9" s="52"/>
      <c r="M9" s="52">
        <v>2584</v>
      </c>
    </row>
    <row r="10" spans="1:13">
      <c r="A10" s="13" t="s">
        <v>19</v>
      </c>
      <c r="B10" s="13" t="s">
        <v>203</v>
      </c>
      <c r="C10" s="13" t="s">
        <v>201</v>
      </c>
      <c r="E10" s="52">
        <v>9123</v>
      </c>
      <c r="F10" s="52"/>
      <c r="G10" s="52">
        <v>11851</v>
      </c>
      <c r="H10" s="52"/>
      <c r="I10" s="52">
        <v>6532</v>
      </c>
      <c r="J10" s="52"/>
      <c r="K10" s="52">
        <v>7525</v>
      </c>
      <c r="L10" s="52"/>
      <c r="M10" s="52">
        <v>7183</v>
      </c>
    </row>
    <row r="11" spans="1:13">
      <c r="E11" s="52"/>
      <c r="F11" s="52"/>
      <c r="G11" s="52"/>
      <c r="H11" s="52"/>
      <c r="I11" s="52"/>
      <c r="J11" s="52"/>
      <c r="K11" s="52"/>
      <c r="L11" s="52"/>
      <c r="M11" s="52"/>
    </row>
    <row r="12" spans="1:13">
      <c r="A12" s="13" t="s">
        <v>20</v>
      </c>
      <c r="B12" s="13" t="s">
        <v>200</v>
      </c>
      <c r="C12" s="13" t="s">
        <v>829</v>
      </c>
      <c r="E12" s="52">
        <v>6695</v>
      </c>
      <c r="F12" s="52"/>
      <c r="G12" s="52">
        <v>8079</v>
      </c>
      <c r="H12" s="52"/>
      <c r="I12" s="52">
        <v>6619</v>
      </c>
      <c r="J12" s="52"/>
      <c r="K12" s="52">
        <v>10496</v>
      </c>
      <c r="L12" s="52"/>
      <c r="M12" s="52">
        <v>5304</v>
      </c>
    </row>
    <row r="13" spans="1:13">
      <c r="A13" s="13" t="s">
        <v>20</v>
      </c>
      <c r="B13" s="13" t="s">
        <v>200</v>
      </c>
      <c r="C13" s="13" t="s">
        <v>836</v>
      </c>
      <c r="E13" s="52">
        <v>1019188</v>
      </c>
      <c r="F13" s="52"/>
      <c r="G13" s="52">
        <v>1160545</v>
      </c>
      <c r="H13" s="52"/>
      <c r="I13" s="52">
        <v>503444</v>
      </c>
      <c r="J13" s="52"/>
      <c r="K13" s="52">
        <v>561027</v>
      </c>
      <c r="L13" s="52"/>
      <c r="M13" s="52">
        <v>618496</v>
      </c>
    </row>
    <row r="14" spans="1:13">
      <c r="A14" s="13" t="s">
        <v>20</v>
      </c>
      <c r="B14" s="13" t="s">
        <v>353</v>
      </c>
      <c r="C14" s="13" t="s">
        <v>829</v>
      </c>
      <c r="E14" s="52">
        <v>11049</v>
      </c>
      <c r="F14" s="52"/>
      <c r="G14" s="52">
        <v>9983</v>
      </c>
      <c r="H14" s="52"/>
      <c r="I14" s="52">
        <v>7996</v>
      </c>
      <c r="J14" s="52"/>
      <c r="K14" s="52">
        <v>9273</v>
      </c>
      <c r="L14" s="52"/>
      <c r="M14" s="52">
        <v>12515</v>
      </c>
    </row>
    <row r="15" spans="1:13">
      <c r="A15" s="13" t="s">
        <v>20</v>
      </c>
      <c r="B15" s="13" t="s">
        <v>353</v>
      </c>
      <c r="C15" s="13" t="s">
        <v>836</v>
      </c>
      <c r="E15" s="52">
        <v>15</v>
      </c>
      <c r="F15" s="52"/>
      <c r="G15" s="52">
        <v>16</v>
      </c>
      <c r="H15" s="52"/>
      <c r="I15" s="52">
        <v>17</v>
      </c>
      <c r="J15" s="52"/>
      <c r="K15" s="52">
        <v>29</v>
      </c>
      <c r="L15" s="52"/>
      <c r="M15" s="52">
        <v>34</v>
      </c>
    </row>
    <row r="16" spans="1:13">
      <c r="A16" s="13" t="s">
        <v>20</v>
      </c>
      <c r="B16" s="13" t="s">
        <v>202</v>
      </c>
      <c r="C16" s="13" t="s">
        <v>829</v>
      </c>
      <c r="E16" s="52">
        <v>431</v>
      </c>
      <c r="F16" s="52"/>
      <c r="G16" s="52">
        <v>323</v>
      </c>
      <c r="H16" s="52"/>
      <c r="I16" s="52">
        <v>553</v>
      </c>
      <c r="J16" s="52"/>
      <c r="K16" s="52">
        <v>510</v>
      </c>
      <c r="L16" s="52"/>
      <c r="M16" s="52">
        <v>787</v>
      </c>
    </row>
    <row r="17" spans="1:13">
      <c r="A17" s="13" t="s">
        <v>20</v>
      </c>
      <c r="B17" s="13" t="s">
        <v>202</v>
      </c>
      <c r="C17" s="13" t="s">
        <v>201</v>
      </c>
      <c r="E17" s="52">
        <v>500</v>
      </c>
      <c r="F17" s="52"/>
      <c r="G17" s="52">
        <v>304</v>
      </c>
      <c r="H17" s="52"/>
      <c r="I17" s="52">
        <v>403</v>
      </c>
      <c r="J17" s="52"/>
      <c r="K17" s="52">
        <v>585</v>
      </c>
      <c r="L17" s="52"/>
      <c r="M17" s="52">
        <v>567</v>
      </c>
    </row>
    <row r="18" spans="1:13">
      <c r="A18" s="13" t="s">
        <v>20</v>
      </c>
      <c r="B18" s="13" t="s">
        <v>203</v>
      </c>
      <c r="C18" s="13" t="s">
        <v>829</v>
      </c>
      <c r="E18" s="52">
        <v>839</v>
      </c>
      <c r="F18" s="52"/>
      <c r="G18" s="52">
        <v>1020</v>
      </c>
      <c r="H18" s="52"/>
      <c r="I18" s="52">
        <v>913</v>
      </c>
      <c r="J18" s="52"/>
      <c r="K18" s="52">
        <v>588</v>
      </c>
      <c r="L18" s="52"/>
      <c r="M18" s="52">
        <v>597</v>
      </c>
    </row>
    <row r="19" spans="1:13">
      <c r="A19" s="13" t="s">
        <v>20</v>
      </c>
      <c r="B19" s="13" t="s">
        <v>203</v>
      </c>
      <c r="C19" s="13" t="s">
        <v>201</v>
      </c>
      <c r="E19" s="52">
        <v>1414</v>
      </c>
      <c r="F19" s="52"/>
      <c r="G19" s="52">
        <v>852</v>
      </c>
      <c r="H19" s="52"/>
      <c r="I19" s="52">
        <v>809</v>
      </c>
      <c r="J19" s="52"/>
      <c r="K19" s="52">
        <v>732</v>
      </c>
      <c r="L19" s="52"/>
      <c r="M19" s="52">
        <v>779</v>
      </c>
    </row>
    <row r="20" spans="1:13">
      <c r="A20" s="35"/>
      <c r="B20" s="35"/>
      <c r="C20" s="35"/>
      <c r="D20" s="35"/>
      <c r="E20" s="35"/>
      <c r="F20" s="35"/>
      <c r="G20" s="35"/>
      <c r="H20" s="35"/>
      <c r="I20" s="35"/>
      <c r="J20" s="35"/>
      <c r="K20" s="35"/>
      <c r="L20" s="35"/>
      <c r="M20" s="35"/>
    </row>
    <row r="23" spans="1:13">
      <c r="A23"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3DF15-50F4-4609-86A7-412D0B018EB0}">
  <dimension ref="A1:N64"/>
  <sheetViews>
    <sheetView view="pageBreakPreview" zoomScaleNormal="100" zoomScaleSheetLayoutView="100" workbookViewId="0">
      <selection activeCell="C29" sqref="C29"/>
    </sheetView>
  </sheetViews>
  <sheetFormatPr defaultColWidth="13" defaultRowHeight="14"/>
  <cols>
    <col min="1" max="1" width="12" style="13" customWidth="1"/>
    <col min="2" max="2" width="16.453125" style="13" customWidth="1"/>
    <col min="3" max="3" width="14.54296875" style="13" bestFit="1" customWidth="1"/>
    <col min="4" max="4" width="3.1796875" style="13" customWidth="1"/>
    <col min="5" max="5" width="12.26953125" style="13" bestFit="1" customWidth="1"/>
    <col min="6" max="6" width="5.26953125" style="43" customWidth="1"/>
    <col min="7" max="7" width="12.26953125" style="43" bestFit="1" customWidth="1"/>
    <col min="8" max="8" width="6" style="43" customWidth="1"/>
    <col min="9" max="9" width="12.26953125" style="43" bestFit="1" customWidth="1"/>
    <col min="10" max="10" width="5.453125" style="43" customWidth="1"/>
    <col min="11" max="11" width="12.26953125" style="43" bestFit="1" customWidth="1"/>
    <col min="12" max="12" width="5.54296875" style="43" customWidth="1"/>
    <col min="13" max="13" width="12.26953125" style="43" bestFit="1" customWidth="1"/>
    <col min="14" max="14" width="13" style="43"/>
    <col min="15" max="16384" width="13" style="13"/>
  </cols>
  <sheetData>
    <row r="1" spans="1:14">
      <c r="A1" s="53" t="s">
        <v>204</v>
      </c>
    </row>
    <row r="2" spans="1:14">
      <c r="A2" s="23" t="s">
        <v>670</v>
      </c>
      <c r="B2" s="23" t="s">
        <v>0</v>
      </c>
      <c r="C2" s="23" t="s">
        <v>669</v>
      </c>
      <c r="D2" s="23" t="s">
        <v>1</v>
      </c>
      <c r="E2" s="54">
        <v>2018</v>
      </c>
      <c r="F2" s="54" t="s">
        <v>1</v>
      </c>
      <c r="G2" s="54">
        <v>2019</v>
      </c>
      <c r="H2" s="54" t="s">
        <v>1</v>
      </c>
      <c r="I2" s="54">
        <v>2020</v>
      </c>
      <c r="J2" s="54" t="s">
        <v>1</v>
      </c>
      <c r="K2" s="54">
        <v>2021</v>
      </c>
      <c r="L2" s="54" t="s">
        <v>1</v>
      </c>
      <c r="M2" s="54">
        <v>2022</v>
      </c>
      <c r="N2" s="13"/>
    </row>
    <row r="3" spans="1:14" ht="38">
      <c r="A3" s="16" t="s">
        <v>38</v>
      </c>
      <c r="B3" s="15" t="s">
        <v>828</v>
      </c>
      <c r="C3" s="16" t="s">
        <v>201</v>
      </c>
      <c r="D3" s="16" t="s">
        <v>205</v>
      </c>
      <c r="E3" s="55">
        <v>69882000</v>
      </c>
      <c r="F3" s="55" t="s">
        <v>205</v>
      </c>
      <c r="G3" s="55">
        <v>65660000</v>
      </c>
      <c r="H3" s="55" t="s">
        <v>206</v>
      </c>
      <c r="I3" s="55">
        <v>57571000</v>
      </c>
      <c r="J3" s="55" t="s">
        <v>206</v>
      </c>
      <c r="K3" s="55">
        <v>64270000</v>
      </c>
      <c r="L3" s="55" t="s">
        <v>207</v>
      </c>
      <c r="M3" s="55">
        <v>59024000</v>
      </c>
      <c r="N3" s="13"/>
    </row>
    <row r="4" spans="1:14" ht="38">
      <c r="A4" s="16" t="s">
        <v>38</v>
      </c>
      <c r="B4" s="15" t="s">
        <v>208</v>
      </c>
      <c r="C4" s="16" t="s">
        <v>201</v>
      </c>
      <c r="D4" s="16" t="s">
        <v>209</v>
      </c>
      <c r="E4" s="55">
        <v>129998000</v>
      </c>
      <c r="F4" s="55" t="s">
        <v>207</v>
      </c>
      <c r="G4" s="55">
        <v>129636000</v>
      </c>
      <c r="H4" s="55" t="s">
        <v>207</v>
      </c>
      <c r="I4" s="55">
        <v>118146000</v>
      </c>
      <c r="J4" s="55" t="s">
        <v>207</v>
      </c>
      <c r="K4" s="55">
        <v>137124000</v>
      </c>
      <c r="L4" s="55" t="s">
        <v>207</v>
      </c>
      <c r="M4" s="55">
        <v>126474000</v>
      </c>
      <c r="N4" s="13"/>
    </row>
    <row r="5" spans="1:14">
      <c r="A5" s="16" t="s">
        <v>38</v>
      </c>
      <c r="B5" s="15" t="s">
        <v>210</v>
      </c>
      <c r="C5" s="16" t="s">
        <v>201</v>
      </c>
      <c r="D5" s="16"/>
      <c r="E5" s="55">
        <v>199881000</v>
      </c>
      <c r="F5" s="55" t="s">
        <v>211</v>
      </c>
      <c r="G5" s="55">
        <v>195296000</v>
      </c>
      <c r="H5" s="55" t="s">
        <v>211</v>
      </c>
      <c r="I5" s="55">
        <v>174813000</v>
      </c>
      <c r="J5" s="55" t="s">
        <v>211</v>
      </c>
      <c r="K5" s="55">
        <v>201394000</v>
      </c>
      <c r="L5" s="55" t="s">
        <v>211</v>
      </c>
      <c r="M5" s="55">
        <v>183267000</v>
      </c>
      <c r="N5" s="13"/>
    </row>
    <row r="6" spans="1:14">
      <c r="A6" s="16"/>
      <c r="B6" s="15"/>
      <c r="C6" s="16"/>
      <c r="D6" s="16"/>
      <c r="E6" s="55"/>
      <c r="F6" s="55"/>
      <c r="G6" s="55"/>
      <c r="H6" s="55"/>
      <c r="I6" s="55"/>
      <c r="J6" s="55"/>
      <c r="K6" s="55"/>
      <c r="L6" s="55"/>
      <c r="M6" s="55"/>
      <c r="N6" s="13"/>
    </row>
    <row r="7" spans="1:14" ht="38">
      <c r="A7" s="16" t="s">
        <v>19</v>
      </c>
      <c r="B7" s="15" t="s">
        <v>828</v>
      </c>
      <c r="C7" s="16" t="s">
        <v>829</v>
      </c>
      <c r="D7" s="16"/>
      <c r="E7" s="55">
        <v>19951</v>
      </c>
      <c r="F7" s="55"/>
      <c r="G7" s="55">
        <v>25586</v>
      </c>
      <c r="H7" s="55"/>
      <c r="I7" s="55">
        <v>22491</v>
      </c>
      <c r="J7" s="55"/>
      <c r="K7" s="55">
        <v>15300</v>
      </c>
      <c r="L7" s="55"/>
      <c r="M7" s="55">
        <v>24499</v>
      </c>
      <c r="N7" s="13"/>
    </row>
    <row r="8" spans="1:14" ht="38">
      <c r="A8" s="16" t="s">
        <v>19</v>
      </c>
      <c r="B8" s="15" t="s">
        <v>828</v>
      </c>
      <c r="C8" s="16" t="s">
        <v>201</v>
      </c>
      <c r="D8" s="16"/>
      <c r="E8" s="55">
        <v>488876</v>
      </c>
      <c r="F8" s="55"/>
      <c r="G8" s="55">
        <v>465526</v>
      </c>
      <c r="H8" s="55"/>
      <c r="I8" s="55">
        <v>348107</v>
      </c>
      <c r="J8" s="55"/>
      <c r="K8" s="55">
        <v>386203</v>
      </c>
      <c r="L8" s="55"/>
      <c r="M8" s="55">
        <v>984924</v>
      </c>
      <c r="N8" s="13"/>
    </row>
    <row r="9" spans="1:14" ht="38">
      <c r="A9" s="16" t="s">
        <v>19</v>
      </c>
      <c r="B9" s="15" t="s">
        <v>208</v>
      </c>
      <c r="C9" s="16" t="s">
        <v>829</v>
      </c>
      <c r="D9" s="16" t="s">
        <v>212</v>
      </c>
      <c r="E9" s="55">
        <v>17231</v>
      </c>
      <c r="F9" s="55" t="s">
        <v>212</v>
      </c>
      <c r="G9" s="55">
        <v>14270</v>
      </c>
      <c r="H9" s="55" t="s">
        <v>212</v>
      </c>
      <c r="I9" s="55">
        <v>12547</v>
      </c>
      <c r="J9" s="55" t="s">
        <v>212</v>
      </c>
      <c r="K9" s="55">
        <v>36695</v>
      </c>
      <c r="L9" s="55" t="s">
        <v>212</v>
      </c>
      <c r="M9" s="55">
        <v>27719</v>
      </c>
      <c r="N9" s="13"/>
    </row>
    <row r="10" spans="1:14" ht="38">
      <c r="A10" s="16" t="s">
        <v>19</v>
      </c>
      <c r="B10" s="15" t="s">
        <v>208</v>
      </c>
      <c r="C10" s="16" t="s">
        <v>201</v>
      </c>
      <c r="D10" s="16" t="s">
        <v>212</v>
      </c>
      <c r="E10" s="55">
        <v>270077</v>
      </c>
      <c r="F10" s="55" t="s">
        <v>212</v>
      </c>
      <c r="G10" s="55">
        <v>209381</v>
      </c>
      <c r="H10" s="55" t="s">
        <v>212</v>
      </c>
      <c r="I10" s="55">
        <v>216573</v>
      </c>
      <c r="J10" s="55" t="s">
        <v>212</v>
      </c>
      <c r="K10" s="55">
        <v>697653</v>
      </c>
      <c r="L10" s="55" t="s">
        <v>212</v>
      </c>
      <c r="M10" s="55">
        <v>548630</v>
      </c>
      <c r="N10" s="13"/>
    </row>
    <row r="11" spans="1:14">
      <c r="A11" s="16" t="s">
        <v>19</v>
      </c>
      <c r="B11" s="15" t="s">
        <v>210</v>
      </c>
      <c r="C11" s="16" t="s">
        <v>829</v>
      </c>
      <c r="D11" s="16"/>
      <c r="E11" s="55">
        <v>37182</v>
      </c>
      <c r="F11" s="55"/>
      <c r="G11" s="55">
        <v>39856</v>
      </c>
      <c r="H11" s="55"/>
      <c r="I11" s="55">
        <v>35038</v>
      </c>
      <c r="J11" s="55"/>
      <c r="K11" s="55">
        <v>51995</v>
      </c>
      <c r="L11" s="55"/>
      <c r="M11" s="55">
        <v>52218</v>
      </c>
      <c r="N11" s="13"/>
    </row>
    <row r="12" spans="1:14">
      <c r="A12" s="16" t="s">
        <v>19</v>
      </c>
      <c r="B12" s="15" t="s">
        <v>210</v>
      </c>
      <c r="C12" s="16" t="s">
        <v>201</v>
      </c>
      <c r="D12" s="16"/>
      <c r="E12" s="55">
        <v>758953</v>
      </c>
      <c r="F12" s="55"/>
      <c r="G12" s="55">
        <v>674907</v>
      </c>
      <c r="H12" s="55"/>
      <c r="I12" s="55">
        <v>564680</v>
      </c>
      <c r="J12" s="55"/>
      <c r="K12" s="55">
        <v>1083856</v>
      </c>
      <c r="L12" s="55"/>
      <c r="M12" s="55">
        <v>1533554</v>
      </c>
      <c r="N12" s="13"/>
    </row>
    <row r="13" spans="1:14">
      <c r="A13" s="16"/>
      <c r="B13" s="15"/>
      <c r="C13" s="16"/>
      <c r="D13" s="16"/>
      <c r="E13" s="55"/>
      <c r="F13" s="55"/>
      <c r="G13" s="55"/>
      <c r="H13" s="55"/>
      <c r="I13" s="55"/>
      <c r="J13" s="55"/>
      <c r="K13" s="55"/>
      <c r="L13" s="55"/>
      <c r="M13" s="55"/>
      <c r="N13" s="13"/>
    </row>
    <row r="14" spans="1:14" ht="38">
      <c r="A14" s="16" t="s">
        <v>20</v>
      </c>
      <c r="B14" s="15" t="s">
        <v>828</v>
      </c>
      <c r="C14" s="16" t="s">
        <v>829</v>
      </c>
      <c r="D14" s="16" t="s">
        <v>213</v>
      </c>
      <c r="E14" s="55">
        <v>28994</v>
      </c>
      <c r="F14" s="55" t="s">
        <v>213</v>
      </c>
      <c r="G14" s="55">
        <v>40017</v>
      </c>
      <c r="H14" s="55" t="s">
        <v>213</v>
      </c>
      <c r="I14" s="55">
        <v>31407</v>
      </c>
      <c r="J14" s="55" t="s">
        <v>213</v>
      </c>
      <c r="K14" s="55">
        <v>23087</v>
      </c>
      <c r="L14" s="55" t="s">
        <v>213</v>
      </c>
      <c r="M14" s="55">
        <v>24705</v>
      </c>
      <c r="N14" s="13"/>
    </row>
    <row r="15" spans="1:14" ht="38">
      <c r="A15" s="16" t="s">
        <v>20</v>
      </c>
      <c r="B15" s="15" t="s">
        <v>828</v>
      </c>
      <c r="C15" s="16" t="s">
        <v>201</v>
      </c>
      <c r="D15" s="16" t="s">
        <v>213</v>
      </c>
      <c r="E15" s="55">
        <v>2841913</v>
      </c>
      <c r="F15" s="55" t="s">
        <v>213</v>
      </c>
      <c r="G15" s="55">
        <v>3257033</v>
      </c>
      <c r="H15" s="55" t="s">
        <v>213</v>
      </c>
      <c r="I15" s="55">
        <v>3331874</v>
      </c>
      <c r="J15" s="55" t="s">
        <v>213</v>
      </c>
      <c r="K15" s="55">
        <v>1622240</v>
      </c>
      <c r="L15" s="55" t="s">
        <v>213</v>
      </c>
      <c r="M15" s="55">
        <v>1396360</v>
      </c>
      <c r="N15" s="13"/>
    </row>
    <row r="16" spans="1:14" ht="38">
      <c r="A16" s="16" t="s">
        <v>20</v>
      </c>
      <c r="B16" s="15" t="s">
        <v>208</v>
      </c>
      <c r="C16" s="16" t="s">
        <v>829</v>
      </c>
      <c r="D16" s="16"/>
      <c r="E16" s="55">
        <v>38266</v>
      </c>
      <c r="F16" s="55"/>
      <c r="G16" s="55">
        <v>36256</v>
      </c>
      <c r="H16" s="55"/>
      <c r="I16" s="55">
        <v>34050</v>
      </c>
      <c r="J16" s="55"/>
      <c r="K16" s="55">
        <v>36025</v>
      </c>
      <c r="L16" s="55"/>
      <c r="M16" s="55">
        <v>42364</v>
      </c>
      <c r="N16" s="13"/>
    </row>
    <row r="17" spans="1:14" ht="38">
      <c r="A17" s="16" t="s">
        <v>20</v>
      </c>
      <c r="B17" s="15" t="s">
        <v>208</v>
      </c>
      <c r="C17" s="16" t="s">
        <v>201</v>
      </c>
      <c r="D17" s="16"/>
      <c r="E17" s="55">
        <v>4419084</v>
      </c>
      <c r="F17" s="55"/>
      <c r="G17" s="55">
        <v>3464967</v>
      </c>
      <c r="H17" s="55"/>
      <c r="I17" s="55">
        <v>3808212</v>
      </c>
      <c r="J17" s="55"/>
      <c r="K17" s="55">
        <v>3416197</v>
      </c>
      <c r="L17" s="55"/>
      <c r="M17" s="55">
        <v>3221531</v>
      </c>
      <c r="N17" s="13"/>
    </row>
    <row r="18" spans="1:14">
      <c r="A18" s="16" t="s">
        <v>20</v>
      </c>
      <c r="B18" s="15" t="s">
        <v>210</v>
      </c>
      <c r="C18" s="16" t="s">
        <v>829</v>
      </c>
      <c r="D18" s="16"/>
      <c r="E18" s="55">
        <v>67260</v>
      </c>
      <c r="F18" s="55"/>
      <c r="G18" s="55">
        <v>76273</v>
      </c>
      <c r="H18" s="55"/>
      <c r="I18" s="55">
        <v>65457</v>
      </c>
      <c r="J18" s="55"/>
      <c r="K18" s="55">
        <v>59112</v>
      </c>
      <c r="L18" s="55"/>
      <c r="M18" s="55">
        <v>67069</v>
      </c>
      <c r="N18" s="13"/>
    </row>
    <row r="19" spans="1:14">
      <c r="A19" s="16" t="s">
        <v>20</v>
      </c>
      <c r="B19" s="15" t="s">
        <v>210</v>
      </c>
      <c r="C19" s="16" t="s">
        <v>201</v>
      </c>
      <c r="D19" s="16"/>
      <c r="E19" s="55">
        <v>7260997</v>
      </c>
      <c r="F19" s="55"/>
      <c r="G19" s="55">
        <v>6722000</v>
      </c>
      <c r="H19" s="55"/>
      <c r="I19" s="55">
        <v>7140000</v>
      </c>
      <c r="J19" s="55"/>
      <c r="K19" s="55">
        <v>5038437</v>
      </c>
      <c r="L19" s="55"/>
      <c r="M19" s="55">
        <v>4617891</v>
      </c>
      <c r="N19" s="13"/>
    </row>
    <row r="20" spans="1:14">
      <c r="A20" s="26"/>
      <c r="B20" s="26"/>
      <c r="C20" s="26"/>
      <c r="D20" s="26"/>
      <c r="E20" s="56"/>
      <c r="F20" s="56"/>
      <c r="G20" s="56"/>
      <c r="H20" s="56"/>
      <c r="I20" s="56"/>
      <c r="J20" s="56"/>
      <c r="K20" s="56"/>
      <c r="L20" s="56"/>
      <c r="M20" s="56"/>
      <c r="N20" s="13"/>
    </row>
    <row r="21" spans="1:14">
      <c r="A21" s="16"/>
      <c r="B21" s="16"/>
      <c r="C21" s="16"/>
      <c r="D21" s="16"/>
      <c r="E21" s="16"/>
      <c r="F21" s="39"/>
      <c r="G21" s="39"/>
      <c r="H21" s="39"/>
      <c r="I21" s="39"/>
      <c r="J21" s="39"/>
      <c r="K21" s="39"/>
      <c r="L21" s="39"/>
      <c r="M21" s="39"/>
    </row>
    <row r="22" spans="1:14">
      <c r="A22" s="16" t="s">
        <v>14</v>
      </c>
      <c r="B22" s="16" t="s">
        <v>15</v>
      </c>
      <c r="C22" s="16"/>
      <c r="D22" s="16"/>
      <c r="E22" s="16"/>
      <c r="F22" s="39"/>
      <c r="G22" s="39"/>
      <c r="H22" s="39"/>
      <c r="I22" s="39"/>
      <c r="J22" s="39"/>
      <c r="K22" s="39"/>
      <c r="L22" s="39"/>
      <c r="M22" s="39"/>
    </row>
    <row r="23" spans="1:14">
      <c r="A23" s="16" t="s">
        <v>214</v>
      </c>
      <c r="B23" s="16" t="s">
        <v>567</v>
      </c>
      <c r="C23" s="16"/>
      <c r="D23" s="16"/>
      <c r="E23" s="16"/>
      <c r="F23" s="39"/>
      <c r="G23" s="39"/>
      <c r="H23" s="39"/>
      <c r="I23" s="39"/>
      <c r="J23" s="39"/>
      <c r="K23" s="39"/>
      <c r="L23" s="39"/>
      <c r="M23" s="39"/>
    </row>
    <row r="24" spans="1:14" ht="15.75" customHeight="1">
      <c r="A24" s="16" t="s">
        <v>215</v>
      </c>
      <c r="B24" s="16" t="s">
        <v>677</v>
      </c>
      <c r="C24" s="16"/>
      <c r="D24" s="16"/>
      <c r="E24" s="16"/>
      <c r="F24" s="39"/>
      <c r="G24" s="39"/>
      <c r="H24" s="39"/>
      <c r="I24" s="39"/>
      <c r="J24" s="39"/>
      <c r="K24" s="39"/>
      <c r="L24" s="39"/>
      <c r="M24" s="39"/>
    </row>
    <row r="25" spans="1:14" ht="30" customHeight="1">
      <c r="A25" s="16" t="s">
        <v>216</v>
      </c>
      <c r="B25" s="105" t="s">
        <v>678</v>
      </c>
      <c r="C25" s="105"/>
      <c r="D25" s="105"/>
      <c r="E25" s="105"/>
      <c r="F25" s="105"/>
      <c r="G25" s="105"/>
      <c r="H25" s="105"/>
      <c r="I25" s="105"/>
      <c r="J25" s="105"/>
      <c r="K25" s="105"/>
      <c r="L25" s="105"/>
      <c r="M25" s="39"/>
    </row>
    <row r="26" spans="1:14">
      <c r="A26" s="16" t="s">
        <v>217</v>
      </c>
      <c r="B26" s="16" t="s">
        <v>679</v>
      </c>
      <c r="C26" s="16"/>
      <c r="D26" s="16"/>
      <c r="E26" s="16"/>
      <c r="F26" s="39"/>
      <c r="G26" s="39"/>
      <c r="H26" s="39"/>
      <c r="I26" s="39"/>
      <c r="J26" s="39"/>
      <c r="K26" s="39"/>
      <c r="L26" s="39"/>
      <c r="M26" s="39"/>
    </row>
    <row r="27" spans="1:14">
      <c r="A27" s="16" t="s">
        <v>218</v>
      </c>
      <c r="B27" s="16" t="s">
        <v>568</v>
      </c>
      <c r="C27" s="16"/>
      <c r="D27" s="16"/>
      <c r="E27" s="16"/>
      <c r="F27" s="39"/>
      <c r="G27" s="39"/>
      <c r="H27" s="39"/>
      <c r="I27" s="39"/>
      <c r="J27" s="39"/>
      <c r="K27" s="39"/>
      <c r="L27" s="39"/>
      <c r="M27" s="39"/>
    </row>
    <row r="28" spans="1:14">
      <c r="A28" s="16"/>
      <c r="B28" s="16"/>
      <c r="C28" s="16"/>
      <c r="D28" s="16"/>
      <c r="E28" s="16"/>
      <c r="F28" s="39"/>
      <c r="G28" s="39"/>
      <c r="H28" s="39"/>
      <c r="I28" s="39"/>
      <c r="J28" s="39"/>
      <c r="K28" s="39"/>
      <c r="L28" s="39"/>
      <c r="M28" s="39"/>
    </row>
    <row r="29" spans="1:14">
      <c r="A29" s="16"/>
      <c r="B29" s="16"/>
      <c r="C29" s="16"/>
      <c r="D29" s="16"/>
      <c r="E29" s="16"/>
      <c r="F29" s="39"/>
      <c r="G29" s="39"/>
      <c r="H29" s="39"/>
      <c r="I29" s="39"/>
      <c r="J29" s="39"/>
      <c r="K29" s="39"/>
      <c r="L29" s="39"/>
      <c r="M29" s="39"/>
    </row>
    <row r="30" spans="1:14">
      <c r="A30" s="28" t="str">
        <f>HYPERLINK("[UKMY 2023 PrintableV1.1 12_09_24.xlsx]Contents!A1","Return to contents page")</f>
        <v>Return to contents page</v>
      </c>
      <c r="B30" s="16"/>
      <c r="C30" s="16"/>
      <c r="D30" s="16"/>
      <c r="E30" s="16"/>
      <c r="F30" s="39"/>
      <c r="G30" s="39"/>
      <c r="H30" s="39"/>
      <c r="I30" s="39"/>
      <c r="J30" s="39"/>
      <c r="K30" s="39"/>
      <c r="L30" s="39"/>
      <c r="M30" s="39"/>
    </row>
    <row r="64" spans="5:5">
      <c r="E64" s="47"/>
    </row>
  </sheetData>
  <mergeCells count="1">
    <mergeCell ref="B25:L2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F10F-225B-45F2-8FF3-9B088E565A81}">
  <dimension ref="A1:M64"/>
  <sheetViews>
    <sheetView view="pageBreakPreview" zoomScaleNormal="100" zoomScaleSheetLayoutView="100" workbookViewId="0">
      <selection activeCell="B29" sqref="B29"/>
    </sheetView>
  </sheetViews>
  <sheetFormatPr defaultColWidth="9.1796875" defaultRowHeight="14"/>
  <cols>
    <col min="1" max="1" width="16.26953125" style="13" customWidth="1"/>
    <col min="2" max="2" width="46.81640625" style="13" customWidth="1"/>
    <col min="3" max="3" width="14.54296875" style="13" bestFit="1" customWidth="1"/>
    <col min="4" max="4" width="2.1796875" style="13" bestFit="1" customWidth="1"/>
    <col min="5" max="5" width="8.453125" style="13" bestFit="1" customWidth="1"/>
    <col min="6" max="6" width="2.1796875" style="13" bestFit="1" customWidth="1"/>
    <col min="7" max="7" width="8.453125" style="13" bestFit="1" customWidth="1"/>
    <col min="8" max="8" width="2.1796875" style="13" bestFit="1" customWidth="1"/>
    <col min="9" max="9" width="8.453125" style="13" bestFit="1" customWidth="1"/>
    <col min="10" max="10" width="2.1796875" style="13" bestFit="1" customWidth="1"/>
    <col min="11" max="11" width="8.453125" style="13" bestFit="1" customWidth="1"/>
    <col min="12" max="12" width="2.1796875" style="13" bestFit="1" customWidth="1"/>
    <col min="13" max="13" width="8.453125" style="13" bestFit="1" customWidth="1"/>
    <col min="14" max="14" width="9.81640625" style="13" customWidth="1"/>
    <col min="15" max="16384" width="9.1796875" style="13"/>
  </cols>
  <sheetData>
    <row r="1" spans="1:13" ht="15.5">
      <c r="A1" s="51" t="s">
        <v>219</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220</v>
      </c>
      <c r="C3" s="13" t="s">
        <v>201</v>
      </c>
      <c r="D3" s="13" t="s">
        <v>221</v>
      </c>
      <c r="E3" s="57">
        <v>44400</v>
      </c>
      <c r="F3" s="13" t="s">
        <v>221</v>
      </c>
      <c r="G3" s="57">
        <v>39400</v>
      </c>
      <c r="H3" s="13" t="s">
        <v>221</v>
      </c>
      <c r="I3" s="57">
        <v>35700</v>
      </c>
      <c r="J3" s="13" t="s">
        <v>221</v>
      </c>
      <c r="K3" s="57">
        <v>37571</v>
      </c>
      <c r="L3" s="13" t="s">
        <v>221</v>
      </c>
      <c r="M3" s="57">
        <v>31337</v>
      </c>
    </row>
    <row r="4" spans="1:13">
      <c r="A4" s="13" t="s">
        <v>38</v>
      </c>
      <c r="B4" s="13" t="s">
        <v>222</v>
      </c>
      <c r="C4" s="13" t="s">
        <v>201</v>
      </c>
      <c r="E4" s="57">
        <v>148800</v>
      </c>
      <c r="G4" s="57">
        <v>148800</v>
      </c>
      <c r="I4" s="57">
        <v>127200</v>
      </c>
      <c r="K4" s="57">
        <v>120000</v>
      </c>
      <c r="M4" s="57">
        <v>120000</v>
      </c>
    </row>
    <row r="5" spans="1:13">
      <c r="E5" s="57"/>
      <c r="G5" s="57"/>
      <c r="I5" s="57"/>
      <c r="K5" s="57"/>
      <c r="M5" s="57"/>
    </row>
    <row r="6" spans="1:13">
      <c r="A6" s="13" t="s">
        <v>223</v>
      </c>
      <c r="B6" s="13" t="s">
        <v>220</v>
      </c>
      <c r="C6" s="13" t="s">
        <v>201</v>
      </c>
      <c r="D6" s="13" t="s">
        <v>221</v>
      </c>
      <c r="E6" s="57">
        <v>180000</v>
      </c>
      <c r="F6" s="13" t="s">
        <v>221</v>
      </c>
      <c r="G6" s="57">
        <v>180000</v>
      </c>
      <c r="H6" s="13" t="s">
        <v>221</v>
      </c>
      <c r="I6" s="57">
        <v>171000</v>
      </c>
      <c r="J6" s="13" t="s">
        <v>221</v>
      </c>
      <c r="K6" s="57">
        <v>180000</v>
      </c>
      <c r="L6" s="13" t="s">
        <v>221</v>
      </c>
      <c r="M6" s="57">
        <v>150000</v>
      </c>
    </row>
    <row r="7" spans="1:13">
      <c r="A7" s="13" t="s">
        <v>223</v>
      </c>
      <c r="B7" s="13" t="s">
        <v>222</v>
      </c>
      <c r="C7" s="13" t="s">
        <v>201</v>
      </c>
      <c r="E7" s="57">
        <v>148800</v>
      </c>
      <c r="G7" s="57">
        <v>148800</v>
      </c>
      <c r="I7" s="57">
        <v>139200</v>
      </c>
      <c r="K7" s="57">
        <v>144000</v>
      </c>
      <c r="M7" s="57">
        <v>144000</v>
      </c>
    </row>
    <row r="8" spans="1:13">
      <c r="E8" s="57"/>
      <c r="G8" s="57"/>
      <c r="I8" s="57"/>
      <c r="K8" s="57"/>
      <c r="M8" s="57"/>
    </row>
    <row r="9" spans="1:13">
      <c r="A9" s="13" t="s">
        <v>19</v>
      </c>
      <c r="B9" s="13" t="s">
        <v>224</v>
      </c>
      <c r="C9" s="13" t="s">
        <v>829</v>
      </c>
      <c r="E9" s="13">
        <v>700</v>
      </c>
      <c r="G9" s="13">
        <v>783</v>
      </c>
      <c r="I9" s="57">
        <v>1631</v>
      </c>
      <c r="K9" s="13">
        <v>714</v>
      </c>
      <c r="M9" s="57">
        <v>1896</v>
      </c>
    </row>
    <row r="10" spans="1:13">
      <c r="A10" s="13" t="s">
        <v>19</v>
      </c>
      <c r="B10" s="13" t="s">
        <v>224</v>
      </c>
      <c r="C10" s="13" t="s">
        <v>201</v>
      </c>
      <c r="E10" s="13">
        <v>850</v>
      </c>
      <c r="G10" s="13">
        <v>995</v>
      </c>
      <c r="I10" s="57">
        <v>2602</v>
      </c>
      <c r="K10" s="57">
        <v>2046</v>
      </c>
      <c r="M10" s="57">
        <v>7533</v>
      </c>
    </row>
    <row r="11" spans="1:13">
      <c r="A11" s="13" t="s">
        <v>19</v>
      </c>
      <c r="B11" s="13" t="s">
        <v>225</v>
      </c>
      <c r="C11" s="13" t="s">
        <v>829</v>
      </c>
      <c r="E11" s="57">
        <v>316091</v>
      </c>
      <c r="G11" s="57">
        <v>255085</v>
      </c>
      <c r="I11" s="57">
        <v>172585</v>
      </c>
      <c r="K11" s="57">
        <v>265205</v>
      </c>
      <c r="M11" s="57">
        <v>358394</v>
      </c>
    </row>
    <row r="12" spans="1:13">
      <c r="A12" s="13" t="s">
        <v>19</v>
      </c>
      <c r="B12" s="13" t="s">
        <v>225</v>
      </c>
      <c r="C12" s="13" t="s">
        <v>201</v>
      </c>
      <c r="E12" s="57">
        <v>183402</v>
      </c>
      <c r="G12" s="57">
        <v>161909</v>
      </c>
      <c r="I12" s="57">
        <v>120039</v>
      </c>
      <c r="K12" s="57">
        <v>145853</v>
      </c>
      <c r="M12" s="57">
        <v>141816</v>
      </c>
    </row>
    <row r="13" spans="1:13">
      <c r="A13" s="13" t="s">
        <v>19</v>
      </c>
      <c r="B13" s="13" t="s">
        <v>226</v>
      </c>
      <c r="C13" s="13" t="s">
        <v>829</v>
      </c>
      <c r="E13" s="57">
        <v>127711</v>
      </c>
      <c r="F13" s="13" t="s">
        <v>221</v>
      </c>
      <c r="G13" s="57">
        <v>123495</v>
      </c>
      <c r="H13" s="13" t="s">
        <v>221</v>
      </c>
      <c r="I13" s="57">
        <v>102631</v>
      </c>
      <c r="J13" s="13" t="s">
        <v>221</v>
      </c>
      <c r="K13" s="57">
        <v>168695</v>
      </c>
      <c r="M13" s="57">
        <v>235664</v>
      </c>
    </row>
    <row r="14" spans="1:13">
      <c r="A14" s="13" t="s">
        <v>19</v>
      </c>
      <c r="B14" s="13" t="s">
        <v>226</v>
      </c>
      <c r="C14" s="13" t="s">
        <v>201</v>
      </c>
      <c r="E14" s="57">
        <v>68304</v>
      </c>
      <c r="F14" s="13" t="s">
        <v>221</v>
      </c>
      <c r="G14" s="57">
        <v>94900</v>
      </c>
      <c r="H14" s="13" t="s">
        <v>221</v>
      </c>
      <c r="I14" s="57">
        <v>84100</v>
      </c>
      <c r="J14" s="13" t="s">
        <v>221</v>
      </c>
      <c r="K14" s="57">
        <v>93300</v>
      </c>
      <c r="M14" s="57">
        <v>77676</v>
      </c>
    </row>
    <row r="15" spans="1:13">
      <c r="A15" s="13" t="s">
        <v>19</v>
      </c>
      <c r="B15" s="13" t="s">
        <v>227</v>
      </c>
      <c r="C15" s="13" t="s">
        <v>829</v>
      </c>
      <c r="E15" s="57">
        <v>135632</v>
      </c>
      <c r="G15" s="57">
        <v>97739</v>
      </c>
      <c r="I15" s="57">
        <v>81369</v>
      </c>
      <c r="K15" s="57">
        <v>109849</v>
      </c>
      <c r="M15" s="57">
        <v>153737</v>
      </c>
    </row>
    <row r="16" spans="1:13">
      <c r="A16" s="13" t="s">
        <v>19</v>
      </c>
      <c r="B16" s="13" t="s">
        <v>227</v>
      </c>
      <c r="C16" s="13" t="s">
        <v>201</v>
      </c>
      <c r="E16" s="57">
        <v>124866</v>
      </c>
      <c r="G16" s="57">
        <v>100274</v>
      </c>
      <c r="I16" s="57">
        <v>98190</v>
      </c>
      <c r="K16" s="57">
        <v>87998</v>
      </c>
      <c r="M16" s="57">
        <v>112207</v>
      </c>
    </row>
    <row r="17" spans="1:13">
      <c r="E17" s="57"/>
      <c r="G17" s="57"/>
      <c r="I17" s="57"/>
      <c r="K17" s="57"/>
      <c r="M17" s="57"/>
    </row>
    <row r="18" spans="1:13">
      <c r="A18" s="13" t="s">
        <v>20</v>
      </c>
      <c r="B18" s="13" t="s">
        <v>224</v>
      </c>
      <c r="C18" s="13" t="s">
        <v>829</v>
      </c>
      <c r="E18" s="57">
        <v>1449</v>
      </c>
      <c r="G18" s="13">
        <v>763</v>
      </c>
      <c r="I18" s="57">
        <v>1343</v>
      </c>
      <c r="K18" s="57">
        <v>23645</v>
      </c>
      <c r="M18" s="57">
        <v>13095</v>
      </c>
    </row>
    <row r="19" spans="1:13">
      <c r="A19" s="13" t="s">
        <v>20</v>
      </c>
      <c r="B19" s="13" t="s">
        <v>224</v>
      </c>
      <c r="C19" s="13" t="s">
        <v>201</v>
      </c>
      <c r="E19" s="57">
        <v>1000</v>
      </c>
      <c r="G19" s="57">
        <v>2462</v>
      </c>
      <c r="I19" s="57">
        <v>14814</v>
      </c>
      <c r="K19" s="57">
        <v>77568</v>
      </c>
      <c r="M19" s="57">
        <v>41532</v>
      </c>
    </row>
    <row r="20" spans="1:13">
      <c r="A20" s="13" t="s">
        <v>20</v>
      </c>
      <c r="B20" s="13" t="s">
        <v>225</v>
      </c>
      <c r="C20" s="13" t="s">
        <v>829</v>
      </c>
      <c r="E20" s="57">
        <v>18677</v>
      </c>
      <c r="G20" s="57">
        <v>4651</v>
      </c>
      <c r="I20" s="57">
        <v>7378</v>
      </c>
      <c r="K20" s="57">
        <v>3952</v>
      </c>
      <c r="M20" s="57">
        <v>3866</v>
      </c>
    </row>
    <row r="21" spans="1:13">
      <c r="A21" s="13" t="s">
        <v>20</v>
      </c>
      <c r="B21" s="13" t="s">
        <v>225</v>
      </c>
      <c r="C21" s="13" t="s">
        <v>201</v>
      </c>
      <c r="E21" s="57">
        <v>8567</v>
      </c>
      <c r="G21" s="57">
        <v>2658</v>
      </c>
      <c r="I21" s="57">
        <v>4841</v>
      </c>
      <c r="K21" s="57">
        <v>2544</v>
      </c>
      <c r="M21" s="57">
        <v>1910</v>
      </c>
    </row>
    <row r="22" spans="1:13">
      <c r="A22" s="13" t="s">
        <v>20</v>
      </c>
      <c r="B22" s="13" t="s">
        <v>226</v>
      </c>
      <c r="C22" s="13" t="s">
        <v>829</v>
      </c>
      <c r="E22" s="57">
        <v>481954</v>
      </c>
      <c r="F22" s="13" t="s">
        <v>221</v>
      </c>
      <c r="G22" s="57">
        <v>400900</v>
      </c>
      <c r="H22" s="13" t="s">
        <v>221</v>
      </c>
      <c r="I22" s="57">
        <v>314918</v>
      </c>
      <c r="J22" s="13" t="s">
        <v>221</v>
      </c>
      <c r="K22" s="57">
        <v>481111</v>
      </c>
      <c r="M22" s="57">
        <v>693596</v>
      </c>
    </row>
    <row r="23" spans="1:13">
      <c r="A23" s="13" t="s">
        <v>20</v>
      </c>
      <c r="B23" s="13" t="s">
        <v>226</v>
      </c>
      <c r="C23" s="13" t="s">
        <v>201</v>
      </c>
      <c r="E23" s="57">
        <v>262847</v>
      </c>
      <c r="F23" s="13" t="s">
        <v>221</v>
      </c>
      <c r="G23" s="57">
        <v>249600</v>
      </c>
      <c r="H23" s="13" t="s">
        <v>221</v>
      </c>
      <c r="I23" s="57">
        <v>202500</v>
      </c>
      <c r="J23" s="13" t="s">
        <v>221</v>
      </c>
      <c r="K23" s="57">
        <v>251200</v>
      </c>
      <c r="M23" s="57">
        <v>260775</v>
      </c>
    </row>
    <row r="24" spans="1:13">
      <c r="A24" s="13" t="s">
        <v>20</v>
      </c>
      <c r="B24" s="13" t="s">
        <v>227</v>
      </c>
      <c r="C24" s="13" t="s">
        <v>829</v>
      </c>
      <c r="E24" s="57">
        <v>499753</v>
      </c>
      <c r="G24" s="57">
        <v>462025</v>
      </c>
      <c r="I24" s="57">
        <v>378103</v>
      </c>
      <c r="K24" s="57">
        <v>559601</v>
      </c>
      <c r="M24" s="57">
        <v>768262</v>
      </c>
    </row>
    <row r="25" spans="1:13">
      <c r="A25" s="13" t="s">
        <v>20</v>
      </c>
      <c r="B25" s="13" t="s">
        <v>227</v>
      </c>
      <c r="C25" s="13" t="s">
        <v>201</v>
      </c>
      <c r="E25" s="57">
        <v>444339</v>
      </c>
      <c r="G25" s="57">
        <v>477842</v>
      </c>
      <c r="I25" s="57">
        <v>436146</v>
      </c>
      <c r="K25" s="57">
        <v>695611</v>
      </c>
      <c r="M25" s="57">
        <v>520364</v>
      </c>
    </row>
    <row r="26" spans="1:13">
      <c r="A26" s="35"/>
      <c r="B26" s="35"/>
      <c r="C26" s="35"/>
      <c r="D26" s="35"/>
      <c r="E26" s="35"/>
      <c r="F26" s="35"/>
      <c r="G26" s="35"/>
      <c r="H26" s="35"/>
      <c r="I26" s="35"/>
      <c r="J26" s="35"/>
      <c r="K26" s="35"/>
      <c r="L26" s="35"/>
      <c r="M26" s="35"/>
    </row>
    <row r="27" spans="1:13" ht="5.25" customHeight="1"/>
    <row r="28" spans="1:13">
      <c r="A28" s="13" t="s">
        <v>14</v>
      </c>
      <c r="B28" s="13" t="s">
        <v>15</v>
      </c>
    </row>
    <row r="29" spans="1:13">
      <c r="A29" s="13" t="s">
        <v>221</v>
      </c>
      <c r="B29" s="13" t="s">
        <v>297</v>
      </c>
    </row>
    <row r="30" spans="1:13">
      <c r="A30" s="13" t="s">
        <v>122</v>
      </c>
      <c r="B30" s="13" t="s">
        <v>685</v>
      </c>
    </row>
    <row r="31" spans="1:13" ht="6.75" customHeight="1"/>
    <row r="32" spans="1:13" ht="9" customHeight="1"/>
    <row r="33" spans="1:1">
      <c r="A33"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344E6-E7E0-4F49-A519-31ADC2DBD387}">
  <dimension ref="A1:M64"/>
  <sheetViews>
    <sheetView view="pageBreakPreview" zoomScaleNormal="100" zoomScaleSheetLayoutView="100" workbookViewId="0">
      <selection activeCell="E23" sqref="E23"/>
    </sheetView>
  </sheetViews>
  <sheetFormatPr defaultColWidth="9.1796875" defaultRowHeight="14"/>
  <cols>
    <col min="1" max="1" width="15" style="13" customWidth="1"/>
    <col min="2" max="2" width="45.7265625" style="13" customWidth="1"/>
    <col min="3" max="3" width="14.54296875" style="13" bestFit="1" customWidth="1"/>
    <col min="4" max="4" width="3.453125" style="13" bestFit="1" customWidth="1"/>
    <col min="5" max="5" width="8.453125" style="13" bestFit="1" customWidth="1"/>
    <col min="6" max="6" width="3.453125" style="13" bestFit="1" customWidth="1"/>
    <col min="7" max="7" width="8.453125" style="13" bestFit="1" customWidth="1"/>
    <col min="8" max="8" width="3.453125" style="13" bestFit="1" customWidth="1"/>
    <col min="9" max="9" width="7.26953125" style="13" bestFit="1" customWidth="1"/>
    <col min="10" max="10" width="3.453125" style="13" bestFit="1" customWidth="1"/>
    <col min="11" max="11" width="7.26953125" style="13" bestFit="1" customWidth="1"/>
    <col min="12" max="12" width="3.453125" style="13" bestFit="1" customWidth="1"/>
    <col min="13" max="13" width="7.26953125" style="13" bestFit="1" customWidth="1"/>
    <col min="14" max="14" width="9.7265625" style="13" customWidth="1"/>
    <col min="15" max="16384" width="9.1796875" style="13"/>
  </cols>
  <sheetData>
    <row r="1" spans="1:13" ht="15.5">
      <c r="A1" s="51" t="s">
        <v>234</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230</v>
      </c>
      <c r="C3" s="13" t="s">
        <v>829</v>
      </c>
      <c r="E3" s="57">
        <v>103102</v>
      </c>
      <c r="G3" s="57">
        <v>64364</v>
      </c>
      <c r="I3" s="57">
        <v>37316</v>
      </c>
      <c r="K3" s="57">
        <v>30363</v>
      </c>
      <c r="M3" s="57">
        <v>59154</v>
      </c>
    </row>
    <row r="4" spans="1:13">
      <c r="A4" s="13" t="s">
        <v>19</v>
      </c>
      <c r="B4" s="13" t="s">
        <v>230</v>
      </c>
      <c r="C4" s="13" t="s">
        <v>201</v>
      </c>
      <c r="E4" s="57">
        <v>116257</v>
      </c>
      <c r="G4" s="57">
        <v>126979</v>
      </c>
      <c r="I4" s="57">
        <v>93915</v>
      </c>
      <c r="K4" s="57">
        <v>48112</v>
      </c>
      <c r="M4" s="57">
        <v>75176</v>
      </c>
    </row>
    <row r="5" spans="1:13">
      <c r="A5" s="13" t="s">
        <v>19</v>
      </c>
      <c r="B5" s="13" t="s">
        <v>231</v>
      </c>
      <c r="C5" s="13" t="s">
        <v>829</v>
      </c>
      <c r="E5" s="57">
        <v>25584</v>
      </c>
      <c r="G5" s="57">
        <v>31542</v>
      </c>
      <c r="I5" s="57">
        <v>28039</v>
      </c>
      <c r="K5" s="57">
        <v>27712</v>
      </c>
      <c r="M5" s="57">
        <v>38662</v>
      </c>
    </row>
    <row r="6" spans="1:13">
      <c r="A6" s="13" t="s">
        <v>19</v>
      </c>
      <c r="B6" s="13" t="s">
        <v>231</v>
      </c>
      <c r="C6" s="13" t="s">
        <v>201</v>
      </c>
      <c r="E6" s="57">
        <v>60463</v>
      </c>
      <c r="G6" s="57">
        <v>95714</v>
      </c>
      <c r="I6" s="57">
        <v>74557</v>
      </c>
      <c r="K6" s="57">
        <v>84775</v>
      </c>
      <c r="M6" s="57">
        <v>80391</v>
      </c>
    </row>
    <row r="7" spans="1:13">
      <c r="A7" s="13" t="s">
        <v>19</v>
      </c>
      <c r="B7" s="13" t="s">
        <v>232</v>
      </c>
      <c r="C7" s="13" t="s">
        <v>829</v>
      </c>
      <c r="D7" s="13" t="s">
        <v>205</v>
      </c>
      <c r="E7" s="57">
        <v>22689</v>
      </c>
      <c r="F7" s="13" t="s">
        <v>205</v>
      </c>
      <c r="G7" s="57">
        <v>20131</v>
      </c>
      <c r="H7" s="13" t="s">
        <v>205</v>
      </c>
      <c r="I7" s="57">
        <v>15311</v>
      </c>
      <c r="J7" s="13" t="s">
        <v>205</v>
      </c>
      <c r="K7" s="57">
        <v>15623</v>
      </c>
      <c r="L7" s="13" t="s">
        <v>205</v>
      </c>
      <c r="M7" s="57">
        <v>22182</v>
      </c>
    </row>
    <row r="8" spans="1:13">
      <c r="A8" s="13" t="s">
        <v>19</v>
      </c>
      <c r="B8" s="13" t="s">
        <v>232</v>
      </c>
      <c r="C8" s="13" t="s">
        <v>201</v>
      </c>
      <c r="D8" s="13" t="s">
        <v>205</v>
      </c>
      <c r="E8" s="57">
        <v>32971</v>
      </c>
      <c r="F8" s="13" t="s">
        <v>205</v>
      </c>
      <c r="G8" s="57">
        <v>28625</v>
      </c>
      <c r="H8" s="13" t="s">
        <v>205</v>
      </c>
      <c r="I8" s="57">
        <v>21055</v>
      </c>
      <c r="J8" s="13" t="s">
        <v>205</v>
      </c>
      <c r="K8" s="57">
        <v>17733</v>
      </c>
      <c r="L8" s="13" t="s">
        <v>205</v>
      </c>
      <c r="M8" s="57">
        <v>23308</v>
      </c>
    </row>
    <row r="9" spans="1:13">
      <c r="A9" s="13" t="s">
        <v>19</v>
      </c>
      <c r="B9" s="13" t="s">
        <v>233</v>
      </c>
      <c r="C9" s="13" t="s">
        <v>829</v>
      </c>
      <c r="E9" s="13">
        <v>828</v>
      </c>
      <c r="G9" s="57">
        <v>1169</v>
      </c>
      <c r="I9" s="13">
        <v>794</v>
      </c>
      <c r="K9" s="57">
        <v>4621</v>
      </c>
      <c r="M9" s="57">
        <v>1053</v>
      </c>
    </row>
    <row r="10" spans="1:13">
      <c r="A10" s="13" t="s">
        <v>19</v>
      </c>
      <c r="B10" s="13" t="s">
        <v>233</v>
      </c>
      <c r="C10" s="13" t="s">
        <v>201</v>
      </c>
      <c r="E10" s="13">
        <v>854</v>
      </c>
      <c r="G10" s="13">
        <v>823</v>
      </c>
      <c r="I10" s="13">
        <v>587</v>
      </c>
      <c r="K10" s="57">
        <v>2217</v>
      </c>
      <c r="M10" s="13">
        <v>642</v>
      </c>
    </row>
    <row r="11" spans="1:13">
      <c r="K11" s="57"/>
    </row>
    <row r="12" spans="1:13">
      <c r="A12" s="13" t="s">
        <v>20</v>
      </c>
      <c r="B12" s="13" t="s">
        <v>230</v>
      </c>
      <c r="C12" s="13" t="s">
        <v>829</v>
      </c>
      <c r="E12" s="57">
        <v>3441</v>
      </c>
      <c r="G12" s="57">
        <v>3741</v>
      </c>
      <c r="I12" s="57">
        <v>2881</v>
      </c>
      <c r="K12" s="57">
        <v>4287</v>
      </c>
      <c r="M12" s="57">
        <v>4408</v>
      </c>
    </row>
    <row r="13" spans="1:13">
      <c r="A13" s="13" t="s">
        <v>20</v>
      </c>
      <c r="B13" s="13" t="s">
        <v>230</v>
      </c>
      <c r="C13" s="13" t="s">
        <v>201</v>
      </c>
      <c r="E13" s="57">
        <v>3824</v>
      </c>
      <c r="G13" s="57">
        <v>4156</v>
      </c>
      <c r="I13" s="57">
        <v>3411</v>
      </c>
      <c r="K13" s="57">
        <v>3975</v>
      </c>
      <c r="M13" s="57">
        <v>3130</v>
      </c>
    </row>
    <row r="14" spans="1:13">
      <c r="A14" s="13" t="s">
        <v>20</v>
      </c>
      <c r="B14" s="13" t="s">
        <v>231</v>
      </c>
      <c r="C14" s="13" t="s">
        <v>829</v>
      </c>
      <c r="D14" s="13" t="s">
        <v>209</v>
      </c>
      <c r="E14" s="57">
        <v>1200</v>
      </c>
      <c r="F14" s="13" t="s">
        <v>209</v>
      </c>
      <c r="G14" s="57">
        <v>1204</v>
      </c>
      <c r="I14" s="13">
        <v>865</v>
      </c>
      <c r="K14" s="13">
        <v>507</v>
      </c>
      <c r="M14" s="13">
        <v>399</v>
      </c>
    </row>
    <row r="15" spans="1:13">
      <c r="A15" s="13" t="s">
        <v>20</v>
      </c>
      <c r="B15" s="13" t="s">
        <v>231</v>
      </c>
      <c r="C15" s="13" t="s">
        <v>201</v>
      </c>
      <c r="D15" s="13" t="s">
        <v>209</v>
      </c>
      <c r="E15" s="57">
        <v>2500</v>
      </c>
      <c r="F15" s="13" t="s">
        <v>209</v>
      </c>
      <c r="G15" s="57">
        <v>3500</v>
      </c>
      <c r="I15" s="57">
        <v>1387</v>
      </c>
      <c r="K15" s="13">
        <v>169</v>
      </c>
      <c r="M15" s="13">
        <v>146</v>
      </c>
    </row>
    <row r="16" spans="1:13">
      <c r="A16" s="13" t="s">
        <v>20</v>
      </c>
      <c r="B16" s="13" t="s">
        <v>232</v>
      </c>
      <c r="C16" s="13" t="s">
        <v>829</v>
      </c>
      <c r="D16" s="13" t="s">
        <v>205</v>
      </c>
      <c r="E16" s="57">
        <v>10255</v>
      </c>
      <c r="F16" s="13" t="s">
        <v>205</v>
      </c>
      <c r="G16" s="57">
        <v>10236</v>
      </c>
      <c r="H16" s="13" t="s">
        <v>205</v>
      </c>
      <c r="I16" s="57">
        <v>7874</v>
      </c>
      <c r="J16" s="13" t="s">
        <v>205</v>
      </c>
      <c r="K16" s="57">
        <v>12076</v>
      </c>
      <c r="L16" s="13" t="s">
        <v>205</v>
      </c>
      <c r="M16" s="57">
        <v>10381</v>
      </c>
    </row>
    <row r="17" spans="1:13">
      <c r="A17" s="13" t="s">
        <v>20</v>
      </c>
      <c r="B17" s="13" t="s">
        <v>232</v>
      </c>
      <c r="C17" s="13" t="s">
        <v>201</v>
      </c>
      <c r="D17" s="13" t="s">
        <v>205</v>
      </c>
      <c r="E17" s="57">
        <v>13911</v>
      </c>
      <c r="F17" s="13" t="s">
        <v>205</v>
      </c>
      <c r="G17" s="57">
        <v>13469</v>
      </c>
      <c r="H17" s="13" t="s">
        <v>205</v>
      </c>
      <c r="I17" s="57">
        <v>10044</v>
      </c>
      <c r="J17" s="13" t="s">
        <v>205</v>
      </c>
      <c r="K17" s="57">
        <v>8074</v>
      </c>
      <c r="L17" s="13" t="s">
        <v>205</v>
      </c>
      <c r="M17" s="57">
        <v>10550</v>
      </c>
    </row>
    <row r="18" spans="1:13">
      <c r="A18" s="13" t="s">
        <v>20</v>
      </c>
      <c r="B18" s="13" t="s">
        <v>233</v>
      </c>
      <c r="C18" s="13" t="s">
        <v>829</v>
      </c>
      <c r="E18" s="13">
        <v>72</v>
      </c>
      <c r="G18" s="13">
        <v>136</v>
      </c>
      <c r="I18" s="13">
        <v>240</v>
      </c>
      <c r="K18" s="13">
        <v>52</v>
      </c>
      <c r="M18" s="13">
        <v>23</v>
      </c>
    </row>
    <row r="19" spans="1:13">
      <c r="A19" s="13" t="s">
        <v>20</v>
      </c>
      <c r="B19" s="13" t="s">
        <v>233</v>
      </c>
      <c r="C19" s="13" t="s">
        <v>201</v>
      </c>
      <c r="E19" s="13">
        <v>67</v>
      </c>
      <c r="G19" s="13">
        <v>225</v>
      </c>
      <c r="I19" s="13">
        <v>458</v>
      </c>
      <c r="K19" s="13">
        <v>73</v>
      </c>
      <c r="M19" s="13">
        <v>0</v>
      </c>
    </row>
    <row r="20" spans="1:13">
      <c r="A20" s="35"/>
      <c r="B20" s="35"/>
      <c r="C20" s="35"/>
      <c r="D20" s="35"/>
      <c r="E20" s="35"/>
      <c r="F20" s="35"/>
      <c r="G20" s="35"/>
      <c r="H20" s="35"/>
      <c r="I20" s="35"/>
      <c r="J20" s="35"/>
      <c r="K20" s="35"/>
      <c r="L20" s="35"/>
      <c r="M20" s="35"/>
    </row>
    <row r="22" spans="1:13">
      <c r="A22" s="13" t="s">
        <v>14</v>
      </c>
      <c r="B22" s="13" t="s">
        <v>15</v>
      </c>
    </row>
    <row r="23" spans="1:13">
      <c r="A23" s="13" t="s">
        <v>214</v>
      </c>
      <c r="B23" s="13" t="s">
        <v>684</v>
      </c>
    </row>
    <row r="24" spans="1:13">
      <c r="A24" s="13" t="s">
        <v>215</v>
      </c>
      <c r="B24" s="13" t="s">
        <v>685</v>
      </c>
    </row>
    <row r="27" spans="1:13">
      <c r="A27"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0C88-9B2B-44C6-8D10-420287938886}">
  <dimension ref="A1:M64"/>
  <sheetViews>
    <sheetView view="pageBreakPreview" zoomScaleNormal="100" zoomScaleSheetLayoutView="100" workbookViewId="0"/>
  </sheetViews>
  <sheetFormatPr defaultColWidth="9.1796875" defaultRowHeight="14"/>
  <cols>
    <col min="1" max="1" width="19.1796875" style="13" customWidth="1"/>
    <col min="2" max="2" width="31.7265625" style="13" bestFit="1" customWidth="1"/>
    <col min="3" max="3" width="15.26953125" style="13" bestFit="1" customWidth="1"/>
    <col min="4" max="4" width="2.1796875" style="13" bestFit="1" customWidth="1"/>
    <col min="5" max="5" width="7.26953125" style="13" bestFit="1" customWidth="1"/>
    <col min="6" max="6" width="2.1796875" style="13" bestFit="1" customWidth="1"/>
    <col min="7" max="7" width="6.1796875" style="13" bestFit="1" customWidth="1"/>
    <col min="8" max="8" width="2.1796875" style="13" bestFit="1" customWidth="1"/>
    <col min="9" max="9" width="6.1796875" style="13" bestFit="1" customWidth="1"/>
    <col min="10" max="10" width="2.1796875" style="13" bestFit="1" customWidth="1"/>
    <col min="11" max="11" width="6.1796875" style="13" bestFit="1" customWidth="1"/>
    <col min="12" max="12" width="2.1796875" style="13" bestFit="1" customWidth="1"/>
    <col min="13" max="13" width="7.26953125" style="13" bestFit="1" customWidth="1"/>
    <col min="14" max="14" width="9.54296875" style="13" customWidth="1"/>
    <col min="15" max="16384" width="9.1796875" style="13"/>
  </cols>
  <sheetData>
    <row r="1" spans="1:13" ht="15.5">
      <c r="A1" s="51" t="s">
        <v>235</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236</v>
      </c>
      <c r="C3" s="13" t="s">
        <v>829</v>
      </c>
      <c r="E3" s="13">
        <v>1</v>
      </c>
      <c r="G3" s="13">
        <v>0</v>
      </c>
      <c r="I3" s="13">
        <v>1</v>
      </c>
      <c r="K3" s="13">
        <v>0</v>
      </c>
      <c r="M3" s="13">
        <v>3</v>
      </c>
    </row>
    <row r="4" spans="1:13">
      <c r="A4" s="13" t="s">
        <v>19</v>
      </c>
      <c r="B4" s="13" t="s">
        <v>236</v>
      </c>
      <c r="C4" s="13" t="s">
        <v>201</v>
      </c>
      <c r="E4" s="13">
        <v>0</v>
      </c>
      <c r="G4" s="13">
        <v>0</v>
      </c>
      <c r="I4" s="13">
        <v>0</v>
      </c>
      <c r="K4" s="13">
        <v>0</v>
      </c>
      <c r="M4" s="13">
        <v>0</v>
      </c>
    </row>
    <row r="5" spans="1:13">
      <c r="A5" s="13" t="s">
        <v>19</v>
      </c>
      <c r="B5" s="13" t="s">
        <v>237</v>
      </c>
      <c r="C5" s="13" t="s">
        <v>829</v>
      </c>
      <c r="E5" s="57">
        <v>1967</v>
      </c>
      <c r="G5" s="57">
        <v>2275</v>
      </c>
      <c r="I5" s="57">
        <v>1444</v>
      </c>
      <c r="K5" s="57">
        <v>1467</v>
      </c>
      <c r="M5" s="57">
        <v>4770</v>
      </c>
    </row>
    <row r="6" spans="1:13">
      <c r="A6" s="13" t="s">
        <v>19</v>
      </c>
      <c r="B6" s="13" t="s">
        <v>237</v>
      </c>
      <c r="C6" s="13" t="s">
        <v>201</v>
      </c>
      <c r="E6" s="13">
        <v>259</v>
      </c>
      <c r="G6" s="13">
        <v>290</v>
      </c>
      <c r="I6" s="13">
        <v>191</v>
      </c>
      <c r="K6" s="13">
        <v>205</v>
      </c>
      <c r="M6" s="13">
        <v>308</v>
      </c>
    </row>
    <row r="7" spans="1:13">
      <c r="A7" s="13" t="s">
        <v>19</v>
      </c>
      <c r="B7" s="13" t="s">
        <v>238</v>
      </c>
      <c r="C7" s="13" t="s">
        <v>829</v>
      </c>
      <c r="E7" s="57">
        <v>10104</v>
      </c>
      <c r="G7" s="57">
        <v>7555</v>
      </c>
      <c r="I7" s="57">
        <v>5572</v>
      </c>
      <c r="K7" s="57">
        <v>9396</v>
      </c>
      <c r="M7" s="57">
        <v>10065</v>
      </c>
    </row>
    <row r="8" spans="1:13">
      <c r="A8" s="13" t="s">
        <v>19</v>
      </c>
      <c r="B8" s="13" t="s">
        <v>238</v>
      </c>
      <c r="C8" s="13" t="s">
        <v>201</v>
      </c>
      <c r="E8" s="57">
        <v>1759</v>
      </c>
      <c r="G8" s="57">
        <v>2468</v>
      </c>
      <c r="I8" s="57">
        <v>1375</v>
      </c>
      <c r="K8" s="57">
        <v>1517</v>
      </c>
      <c r="M8" s="57">
        <v>1080</v>
      </c>
    </row>
    <row r="9" spans="1:13">
      <c r="E9" s="57"/>
      <c r="G9" s="57"/>
      <c r="I9" s="57"/>
      <c r="K9" s="57"/>
      <c r="M9" s="57"/>
    </row>
    <row r="10" spans="1:13">
      <c r="A10" s="13" t="s">
        <v>20</v>
      </c>
      <c r="B10" s="13" t="s">
        <v>236</v>
      </c>
      <c r="C10" s="13" t="s">
        <v>829</v>
      </c>
      <c r="E10" s="13">
        <v>0</v>
      </c>
      <c r="G10" s="13">
        <v>0</v>
      </c>
      <c r="I10" s="13">
        <v>0</v>
      </c>
      <c r="K10" s="13">
        <v>0</v>
      </c>
      <c r="M10" s="13">
        <v>0</v>
      </c>
    </row>
    <row r="11" spans="1:13">
      <c r="A11" s="13" t="s">
        <v>20</v>
      </c>
      <c r="B11" s="13" t="s">
        <v>236</v>
      </c>
      <c r="C11" s="13" t="s">
        <v>201</v>
      </c>
      <c r="E11" s="13">
        <v>0</v>
      </c>
      <c r="G11" s="13">
        <v>0</v>
      </c>
      <c r="I11" s="13">
        <v>0</v>
      </c>
      <c r="K11" s="13">
        <v>0</v>
      </c>
      <c r="M11" s="13">
        <v>0</v>
      </c>
    </row>
    <row r="12" spans="1:13">
      <c r="A12" s="13" t="s">
        <v>20</v>
      </c>
      <c r="B12" s="13" t="s">
        <v>237</v>
      </c>
      <c r="C12" s="13" t="s">
        <v>829</v>
      </c>
      <c r="E12" s="57">
        <v>5572</v>
      </c>
      <c r="G12" s="57">
        <v>5169</v>
      </c>
      <c r="I12" s="57">
        <v>3980</v>
      </c>
      <c r="K12" s="57">
        <v>5389</v>
      </c>
      <c r="M12" s="57">
        <v>5820</v>
      </c>
    </row>
    <row r="13" spans="1:13">
      <c r="A13" s="13" t="s">
        <v>20</v>
      </c>
      <c r="B13" s="13" t="s">
        <v>237</v>
      </c>
      <c r="C13" s="13" t="s">
        <v>201</v>
      </c>
      <c r="E13" s="13">
        <v>537</v>
      </c>
      <c r="G13" s="13">
        <v>521</v>
      </c>
      <c r="I13" s="13">
        <v>422</v>
      </c>
      <c r="K13" s="13">
        <v>535</v>
      </c>
      <c r="M13" s="13">
        <v>371</v>
      </c>
    </row>
    <row r="14" spans="1:13">
      <c r="A14" s="13" t="s">
        <v>20</v>
      </c>
      <c r="B14" s="13" t="s">
        <v>238</v>
      </c>
      <c r="C14" s="13" t="s">
        <v>829</v>
      </c>
      <c r="E14" s="13">
        <v>583</v>
      </c>
      <c r="G14" s="57">
        <v>1078</v>
      </c>
      <c r="I14" s="13">
        <v>525</v>
      </c>
      <c r="K14" s="13">
        <v>576</v>
      </c>
      <c r="M14" s="13">
        <v>173</v>
      </c>
    </row>
    <row r="15" spans="1:13">
      <c r="A15" s="13" t="s">
        <v>20</v>
      </c>
      <c r="B15" s="13" t="s">
        <v>238</v>
      </c>
      <c r="C15" s="13" t="s">
        <v>201</v>
      </c>
      <c r="E15" s="13">
        <v>89</v>
      </c>
      <c r="G15" s="13">
        <v>151</v>
      </c>
      <c r="I15" s="13">
        <v>95</v>
      </c>
      <c r="K15" s="13">
        <v>70</v>
      </c>
      <c r="M15" s="13">
        <v>17</v>
      </c>
    </row>
    <row r="16" spans="1:13">
      <c r="A16" s="35"/>
      <c r="B16" s="35"/>
      <c r="C16" s="35"/>
      <c r="D16" s="35"/>
      <c r="E16" s="35"/>
      <c r="F16" s="35"/>
      <c r="G16" s="35"/>
      <c r="H16" s="35"/>
      <c r="I16" s="35"/>
      <c r="J16" s="35"/>
      <c r="K16" s="35"/>
      <c r="L16" s="35"/>
      <c r="M16" s="35"/>
    </row>
    <row r="19" spans="1:1">
      <c r="A19"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B143-C398-4EEF-ACC3-2FB91900C71D}">
  <dimension ref="A1:M64"/>
  <sheetViews>
    <sheetView view="pageBreakPreview" zoomScaleNormal="100" zoomScaleSheetLayoutView="100" workbookViewId="0"/>
  </sheetViews>
  <sheetFormatPr defaultColWidth="9.1796875" defaultRowHeight="14"/>
  <cols>
    <col min="1" max="1" width="22" style="13" customWidth="1"/>
    <col min="2" max="2" width="24.7265625" style="13" bestFit="1" customWidth="1"/>
    <col min="3" max="3" width="15.26953125" style="13" bestFit="1" customWidth="1"/>
    <col min="4" max="4" width="2.1796875" style="13" bestFit="1" customWidth="1"/>
    <col min="5" max="5" width="5.54296875" style="13" bestFit="1" customWidth="1"/>
    <col min="6" max="6" width="2.1796875" style="13" bestFit="1" customWidth="1"/>
    <col min="7" max="7" width="5.54296875" style="13" bestFit="1" customWidth="1"/>
    <col min="8" max="8" width="2.1796875" style="13" bestFit="1" customWidth="1"/>
    <col min="9" max="9" width="5.54296875" style="13" bestFit="1" customWidth="1"/>
    <col min="10" max="10" width="2.1796875" style="13" bestFit="1" customWidth="1"/>
    <col min="11" max="11" width="5.54296875" style="13" bestFit="1" customWidth="1"/>
    <col min="12" max="12" width="2.1796875" style="13" bestFit="1" customWidth="1"/>
    <col min="13" max="13" width="5.54296875" style="13" bestFit="1" customWidth="1"/>
    <col min="14" max="14" width="7" style="13" customWidth="1"/>
    <col min="15" max="16384" width="9.1796875" style="13"/>
  </cols>
  <sheetData>
    <row r="1" spans="1:13" ht="15.5">
      <c r="A1" s="51" t="s">
        <v>239</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240</v>
      </c>
      <c r="C3" s="13" t="s">
        <v>829</v>
      </c>
      <c r="E3" s="13">
        <v>445</v>
      </c>
      <c r="G3" s="13">
        <v>282</v>
      </c>
      <c r="I3" s="13">
        <v>247</v>
      </c>
      <c r="K3" s="13">
        <v>338</v>
      </c>
      <c r="M3" s="13">
        <v>896</v>
      </c>
    </row>
    <row r="4" spans="1:13">
      <c r="A4" s="13" t="s">
        <v>19</v>
      </c>
      <c r="B4" s="13" t="s">
        <v>240</v>
      </c>
      <c r="C4" s="13" t="s">
        <v>201</v>
      </c>
      <c r="E4" s="13">
        <v>3</v>
      </c>
      <c r="G4" s="13">
        <v>5</v>
      </c>
      <c r="I4" s="13">
        <v>3</v>
      </c>
      <c r="K4" s="13">
        <v>1</v>
      </c>
      <c r="M4" s="13">
        <v>30</v>
      </c>
    </row>
    <row r="6" spans="1:13">
      <c r="A6" s="13" t="s">
        <v>20</v>
      </c>
      <c r="B6" s="13" t="s">
        <v>240</v>
      </c>
      <c r="C6" s="13" t="s">
        <v>829</v>
      </c>
      <c r="E6" s="13">
        <v>20</v>
      </c>
      <c r="G6" s="13">
        <v>28</v>
      </c>
      <c r="I6" s="13">
        <v>10</v>
      </c>
      <c r="K6" s="13">
        <v>5</v>
      </c>
      <c r="M6" s="13">
        <v>9</v>
      </c>
    </row>
    <row r="7" spans="1:13">
      <c r="A7" s="13" t="s">
        <v>20</v>
      </c>
      <c r="B7" s="13" t="s">
        <v>240</v>
      </c>
      <c r="C7" s="13" t="s">
        <v>201</v>
      </c>
      <c r="E7" s="13">
        <v>1</v>
      </c>
      <c r="G7" s="13">
        <v>4</v>
      </c>
      <c r="I7" s="13">
        <v>2</v>
      </c>
      <c r="K7" s="13">
        <v>1</v>
      </c>
      <c r="M7" s="13">
        <v>2</v>
      </c>
    </row>
    <row r="8" spans="1:13">
      <c r="A8" s="35"/>
      <c r="B8" s="35"/>
      <c r="C8" s="35"/>
      <c r="D8" s="35"/>
      <c r="E8" s="35"/>
      <c r="F8" s="35"/>
      <c r="G8" s="35"/>
      <c r="H8" s="35"/>
      <c r="I8" s="35"/>
      <c r="J8" s="35"/>
      <c r="K8" s="35"/>
      <c r="L8" s="35"/>
      <c r="M8" s="35"/>
    </row>
    <row r="11" spans="1:13">
      <c r="A1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A4D17-1632-4639-A28C-1061E47CB885}">
  <sheetPr codeName="Sheet1"/>
  <dimension ref="A1"/>
  <sheetViews>
    <sheetView view="pageBreakPreview" topLeftCell="A73" zoomScaleNormal="100" zoomScaleSheetLayoutView="100" workbookViewId="0"/>
  </sheetViews>
  <sheetFormatPr defaultColWidth="9.1796875" defaultRowHeight="14"/>
  <cols>
    <col min="1" max="16384" width="9.1796875" style="13"/>
  </cols>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0D08-0C01-4725-9148-F1CEFDB5273A}">
  <dimension ref="A1:M64"/>
  <sheetViews>
    <sheetView view="pageBreakPreview" zoomScaleNormal="100" zoomScaleSheetLayoutView="100" workbookViewId="0">
      <selection activeCell="B7" sqref="B7"/>
    </sheetView>
  </sheetViews>
  <sheetFormatPr defaultColWidth="9.1796875" defaultRowHeight="14"/>
  <cols>
    <col min="1" max="1" width="13.26953125" style="13" customWidth="1"/>
    <col min="2" max="2" width="51.54296875" style="37" customWidth="1"/>
    <col min="3" max="3" width="15.26953125" style="13" bestFit="1" customWidth="1"/>
    <col min="4" max="4" width="2.1796875" style="13" bestFit="1" customWidth="1"/>
    <col min="5" max="5" width="8.453125" style="13" bestFit="1" customWidth="1"/>
    <col min="6" max="6" width="2.1796875" style="13" bestFit="1" customWidth="1"/>
    <col min="7" max="7" width="8.453125" style="13" bestFit="1" customWidth="1"/>
    <col min="8" max="8" width="2.1796875" style="13" bestFit="1" customWidth="1"/>
    <col min="9" max="9" width="7.26953125" style="13" bestFit="1" customWidth="1"/>
    <col min="10" max="10" width="2.1796875" style="13" bestFit="1" customWidth="1"/>
    <col min="11" max="11" width="7.26953125" style="13" bestFit="1" customWidth="1"/>
    <col min="12" max="12" width="2.1796875" style="13" bestFit="1" customWidth="1"/>
    <col min="13" max="13" width="7.26953125" style="13" bestFit="1" customWidth="1"/>
    <col min="14" max="14" width="8.81640625" style="13" customWidth="1"/>
    <col min="15" max="16384" width="9.1796875" style="13"/>
  </cols>
  <sheetData>
    <row r="1" spans="1:13" ht="15.5">
      <c r="A1" s="20" t="s">
        <v>241</v>
      </c>
    </row>
    <row r="2" spans="1:13">
      <c r="A2" s="42" t="s">
        <v>670</v>
      </c>
      <c r="B2" s="58" t="s">
        <v>0</v>
      </c>
      <c r="C2" s="42" t="s">
        <v>669</v>
      </c>
      <c r="D2" s="42" t="s">
        <v>1</v>
      </c>
      <c r="E2" s="42">
        <v>2018</v>
      </c>
      <c r="F2" s="42" t="s">
        <v>1</v>
      </c>
      <c r="G2" s="42">
        <v>2019</v>
      </c>
      <c r="H2" s="42" t="s">
        <v>1</v>
      </c>
      <c r="I2" s="42">
        <v>2020</v>
      </c>
      <c r="J2" s="42" t="s">
        <v>1</v>
      </c>
      <c r="K2" s="42">
        <v>2021</v>
      </c>
      <c r="L2" s="42" t="s">
        <v>1</v>
      </c>
      <c r="M2" s="42">
        <v>2022</v>
      </c>
    </row>
    <row r="3" spans="1:13">
      <c r="A3" s="13" t="s">
        <v>19</v>
      </c>
      <c r="B3" s="37" t="s">
        <v>242</v>
      </c>
      <c r="C3" s="13" t="s">
        <v>829</v>
      </c>
    </row>
    <row r="4" spans="1:13">
      <c r="A4" s="13" t="s">
        <v>19</v>
      </c>
      <c r="B4" s="37" t="s">
        <v>242</v>
      </c>
      <c r="C4" s="13" t="s">
        <v>201</v>
      </c>
    </row>
    <row r="5" spans="1:13">
      <c r="A5" s="13" t="s">
        <v>19</v>
      </c>
      <c r="B5" s="37" t="s">
        <v>243</v>
      </c>
      <c r="C5" s="13" t="s">
        <v>829</v>
      </c>
      <c r="E5" s="13">
        <v>733</v>
      </c>
      <c r="G5" s="13">
        <v>76</v>
      </c>
      <c r="I5" s="13">
        <v>77</v>
      </c>
      <c r="K5" s="13">
        <v>133</v>
      </c>
      <c r="M5" s="57">
        <v>3686</v>
      </c>
    </row>
    <row r="6" spans="1:13">
      <c r="A6" s="13" t="s">
        <v>19</v>
      </c>
      <c r="B6" s="37" t="s">
        <v>243</v>
      </c>
      <c r="C6" s="13" t="s">
        <v>201</v>
      </c>
      <c r="E6" s="13">
        <v>21</v>
      </c>
      <c r="G6" s="13">
        <v>2</v>
      </c>
      <c r="I6" s="13">
        <v>5</v>
      </c>
      <c r="K6" s="13">
        <v>44</v>
      </c>
      <c r="M6" s="13">
        <v>336</v>
      </c>
    </row>
    <row r="7" spans="1:13" ht="28">
      <c r="A7" s="13" t="s">
        <v>19</v>
      </c>
      <c r="B7" s="37" t="s">
        <v>244</v>
      </c>
      <c r="C7" s="13" t="s">
        <v>829</v>
      </c>
      <c r="E7" s="57">
        <v>42202</v>
      </c>
      <c r="G7" s="57">
        <v>35833</v>
      </c>
      <c r="I7" s="57">
        <v>31198</v>
      </c>
      <c r="K7" s="57">
        <v>30444</v>
      </c>
      <c r="M7" s="57">
        <v>33693</v>
      </c>
    </row>
    <row r="8" spans="1:13" ht="28">
      <c r="A8" s="13" t="s">
        <v>19</v>
      </c>
      <c r="B8" s="37" t="s">
        <v>244</v>
      </c>
      <c r="C8" s="13" t="s">
        <v>201</v>
      </c>
      <c r="E8" s="57">
        <v>6908</v>
      </c>
      <c r="G8" s="57">
        <v>6910</v>
      </c>
      <c r="I8" s="57">
        <v>5010</v>
      </c>
      <c r="K8" s="57">
        <v>5187</v>
      </c>
      <c r="M8" s="57">
        <v>2784</v>
      </c>
    </row>
    <row r="9" spans="1:13">
      <c r="A9" s="13" t="s">
        <v>19</v>
      </c>
      <c r="B9" s="37" t="s">
        <v>245</v>
      </c>
      <c r="C9" s="13" t="s">
        <v>829</v>
      </c>
      <c r="E9" s="57">
        <v>78153</v>
      </c>
      <c r="G9" s="57">
        <v>86157</v>
      </c>
      <c r="I9" s="57">
        <v>20301</v>
      </c>
      <c r="K9" s="57">
        <v>25815</v>
      </c>
      <c r="M9" s="57">
        <v>24626</v>
      </c>
    </row>
    <row r="10" spans="1:13">
      <c r="A10" s="13" t="s">
        <v>19</v>
      </c>
      <c r="B10" s="37" t="s">
        <v>245</v>
      </c>
      <c r="C10" s="13" t="s">
        <v>201</v>
      </c>
      <c r="E10" s="57">
        <v>189178</v>
      </c>
      <c r="G10" s="57">
        <v>204437</v>
      </c>
      <c r="I10" s="57">
        <v>44214</v>
      </c>
      <c r="K10" s="57">
        <v>56504</v>
      </c>
      <c r="M10" s="57">
        <v>49638</v>
      </c>
    </row>
    <row r="11" spans="1:13">
      <c r="E11" s="57"/>
      <c r="G11" s="57"/>
      <c r="I11" s="57"/>
      <c r="K11" s="57"/>
      <c r="M11" s="57"/>
    </row>
    <row r="12" spans="1:13">
      <c r="A12" s="13" t="s">
        <v>20</v>
      </c>
      <c r="B12" s="37" t="s">
        <v>242</v>
      </c>
      <c r="C12" s="13" t="s">
        <v>829</v>
      </c>
    </row>
    <row r="13" spans="1:13">
      <c r="A13" s="13" t="s">
        <v>20</v>
      </c>
      <c r="B13" s="37" t="s">
        <v>242</v>
      </c>
      <c r="C13" s="13" t="s">
        <v>201</v>
      </c>
    </row>
    <row r="14" spans="1:13">
      <c r="A14" s="13" t="s">
        <v>20</v>
      </c>
      <c r="B14" s="37" t="s">
        <v>243</v>
      </c>
      <c r="C14" s="13" t="s">
        <v>829</v>
      </c>
      <c r="E14" s="57">
        <v>2161</v>
      </c>
      <c r="G14" s="57">
        <v>1758</v>
      </c>
      <c r="I14" s="13">
        <v>988</v>
      </c>
      <c r="K14" s="57">
        <v>1984</v>
      </c>
      <c r="M14" s="57">
        <v>4147</v>
      </c>
    </row>
    <row r="15" spans="1:13">
      <c r="A15" s="13" t="s">
        <v>20</v>
      </c>
      <c r="B15" s="37" t="s">
        <v>243</v>
      </c>
      <c r="C15" s="13" t="s">
        <v>201</v>
      </c>
      <c r="E15" s="13">
        <v>57</v>
      </c>
      <c r="G15" s="13">
        <v>157</v>
      </c>
      <c r="I15" s="13">
        <v>109</v>
      </c>
      <c r="K15" s="13">
        <v>160</v>
      </c>
      <c r="M15" s="13">
        <v>419</v>
      </c>
    </row>
    <row r="16" spans="1:13" ht="28">
      <c r="A16" s="13" t="s">
        <v>20</v>
      </c>
      <c r="B16" s="37" t="s">
        <v>244</v>
      </c>
      <c r="C16" s="13" t="s">
        <v>829</v>
      </c>
      <c r="E16" s="57">
        <v>58410</v>
      </c>
      <c r="G16" s="57">
        <v>27199</v>
      </c>
      <c r="I16" s="57">
        <v>25019</v>
      </c>
      <c r="K16" s="57">
        <v>35230</v>
      </c>
      <c r="M16" s="57">
        <v>42774</v>
      </c>
    </row>
    <row r="17" spans="1:13" ht="28">
      <c r="A17" s="13" t="s">
        <v>20</v>
      </c>
      <c r="B17" s="37" t="s">
        <v>244</v>
      </c>
      <c r="C17" s="13" t="s">
        <v>201</v>
      </c>
      <c r="E17" s="57">
        <v>2713</v>
      </c>
      <c r="G17" s="57">
        <v>1837</v>
      </c>
      <c r="I17" s="57">
        <v>1457</v>
      </c>
      <c r="K17" s="57">
        <v>1507</v>
      </c>
      <c r="M17" s="57">
        <v>1494</v>
      </c>
    </row>
    <row r="18" spans="1:13">
      <c r="A18" s="13" t="s">
        <v>20</v>
      </c>
      <c r="B18" s="37" t="s">
        <v>245</v>
      </c>
      <c r="C18" s="13" t="s">
        <v>829</v>
      </c>
      <c r="E18" s="57">
        <v>8674</v>
      </c>
      <c r="G18" s="57">
        <v>11415</v>
      </c>
      <c r="I18" s="57">
        <v>3858</v>
      </c>
      <c r="K18" s="57">
        <v>3744</v>
      </c>
      <c r="M18" s="57">
        <v>4684</v>
      </c>
    </row>
    <row r="19" spans="1:13">
      <c r="A19" s="13" t="s">
        <v>20</v>
      </c>
      <c r="B19" s="37" t="s">
        <v>245</v>
      </c>
      <c r="C19" s="13" t="s">
        <v>201</v>
      </c>
      <c r="E19" s="57">
        <v>15229</v>
      </c>
      <c r="G19" s="57">
        <v>18260</v>
      </c>
      <c r="I19" s="57">
        <v>7182</v>
      </c>
      <c r="K19" s="57">
        <v>6144</v>
      </c>
      <c r="M19" s="57">
        <v>5483</v>
      </c>
    </row>
    <row r="20" spans="1:13">
      <c r="A20" s="35"/>
      <c r="B20" s="59"/>
      <c r="C20" s="35"/>
      <c r="D20" s="35"/>
      <c r="E20" s="35"/>
      <c r="F20" s="35"/>
      <c r="G20" s="35"/>
      <c r="H20" s="35"/>
      <c r="I20" s="35"/>
      <c r="J20" s="35"/>
      <c r="K20" s="35"/>
      <c r="L20" s="35"/>
      <c r="M20" s="35"/>
    </row>
    <row r="23" spans="1:13">
      <c r="A23"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1517-1711-4B24-8A5A-20714D34064D}">
  <dimension ref="A1:M64"/>
  <sheetViews>
    <sheetView view="pageBreakPreview" zoomScaleNormal="100" zoomScaleSheetLayoutView="100" workbookViewId="0">
      <selection activeCell="B4" sqref="B4"/>
    </sheetView>
  </sheetViews>
  <sheetFormatPr defaultColWidth="9.1796875" defaultRowHeight="14"/>
  <cols>
    <col min="1" max="1" width="21.26953125" style="13" customWidth="1"/>
    <col min="2" max="2" width="26.26953125" style="13" bestFit="1" customWidth="1"/>
    <col min="3" max="3" width="14.54296875" style="13" bestFit="1" customWidth="1"/>
    <col min="4" max="4" width="2.1796875" style="13" bestFit="1" customWidth="1"/>
    <col min="5" max="5" width="7.26953125" style="13" bestFit="1" customWidth="1"/>
    <col min="6" max="6" width="2.1796875" style="13" bestFit="1" customWidth="1"/>
    <col min="7" max="7" width="7.26953125" style="13" bestFit="1" customWidth="1"/>
    <col min="8" max="8" width="2.1796875" style="13" bestFit="1" customWidth="1"/>
    <col min="9" max="9" width="7.26953125" style="13" bestFit="1" customWidth="1"/>
    <col min="10" max="10" width="2.1796875" style="13" bestFit="1" customWidth="1"/>
    <col min="11" max="11" width="8.453125" style="13" bestFit="1" customWidth="1"/>
    <col min="12" max="12" width="2.1796875" style="13" bestFit="1" customWidth="1"/>
    <col min="13" max="13" width="7.26953125" style="13" bestFit="1" customWidth="1"/>
    <col min="14" max="14" width="8.54296875" style="13" customWidth="1"/>
    <col min="15" max="16384" width="9.1796875" style="13"/>
  </cols>
  <sheetData>
    <row r="1" spans="1:13" ht="15.5">
      <c r="A1" s="20" t="s">
        <v>246</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247</v>
      </c>
      <c r="C3" s="13" t="s">
        <v>829</v>
      </c>
      <c r="E3" s="57">
        <v>4529</v>
      </c>
      <c r="G3" s="57">
        <v>4040</v>
      </c>
      <c r="I3" s="57">
        <v>1315</v>
      </c>
      <c r="K3" s="57">
        <v>1124</v>
      </c>
      <c r="M3" s="57">
        <v>1206</v>
      </c>
    </row>
    <row r="4" spans="1:13">
      <c r="A4" s="13" t="s">
        <v>19</v>
      </c>
      <c r="B4" s="13" t="s">
        <v>247</v>
      </c>
      <c r="C4" s="13" t="s">
        <v>201</v>
      </c>
      <c r="E4" s="57">
        <v>22628</v>
      </c>
      <c r="G4" s="57">
        <v>72253</v>
      </c>
      <c r="I4" s="57">
        <v>79384</v>
      </c>
      <c r="K4" s="57">
        <v>140907</v>
      </c>
      <c r="M4" s="57">
        <v>61316</v>
      </c>
    </row>
    <row r="5" spans="1:13">
      <c r="E5" s="57"/>
      <c r="G5" s="57"/>
      <c r="I5" s="57"/>
      <c r="K5" s="57"/>
      <c r="M5" s="57"/>
    </row>
    <row r="6" spans="1:13">
      <c r="A6" s="13" t="s">
        <v>20</v>
      </c>
      <c r="B6" s="13" t="s">
        <v>247</v>
      </c>
      <c r="C6" s="13" t="s">
        <v>829</v>
      </c>
      <c r="E6" s="57">
        <v>2418</v>
      </c>
      <c r="G6" s="57">
        <v>3371</v>
      </c>
      <c r="I6" s="57">
        <v>2126</v>
      </c>
      <c r="K6" s="13">
        <v>842</v>
      </c>
      <c r="M6" s="57">
        <v>1235</v>
      </c>
    </row>
    <row r="7" spans="1:13">
      <c r="A7" s="13" t="s">
        <v>20</v>
      </c>
      <c r="B7" s="13" t="s">
        <v>247</v>
      </c>
      <c r="C7" s="13" t="s">
        <v>201</v>
      </c>
      <c r="E7" s="57">
        <v>47147</v>
      </c>
      <c r="G7" s="57">
        <v>41974</v>
      </c>
      <c r="I7" s="57">
        <v>39264</v>
      </c>
      <c r="K7" s="57">
        <v>7330</v>
      </c>
      <c r="M7" s="57">
        <v>9875</v>
      </c>
    </row>
    <row r="8" spans="1:13">
      <c r="A8" s="35"/>
      <c r="B8" s="35"/>
      <c r="C8" s="35"/>
      <c r="D8" s="35"/>
      <c r="E8" s="35"/>
      <c r="F8" s="35"/>
      <c r="G8" s="35"/>
      <c r="H8" s="35"/>
      <c r="I8" s="35"/>
      <c r="J8" s="35"/>
      <c r="K8" s="35"/>
      <c r="L8" s="35"/>
      <c r="M8" s="35"/>
    </row>
    <row r="11" spans="1:13">
      <c r="A1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3BFA3-B91A-40C7-B737-78ED394BC4ED}">
  <dimension ref="A1:M64"/>
  <sheetViews>
    <sheetView view="pageBreakPreview" zoomScaleNormal="100" zoomScaleSheetLayoutView="100" workbookViewId="0">
      <selection activeCell="B7" sqref="B7"/>
    </sheetView>
  </sheetViews>
  <sheetFormatPr defaultColWidth="9.1796875" defaultRowHeight="14"/>
  <cols>
    <col min="1" max="1" width="21.81640625" style="13" customWidth="1"/>
    <col min="2" max="2" width="24.453125" style="13" customWidth="1"/>
    <col min="3" max="3" width="15.26953125" style="13" bestFit="1" customWidth="1"/>
    <col min="4" max="4" width="3" style="13" bestFit="1" customWidth="1"/>
    <col min="5" max="5" width="8.453125" style="13" bestFit="1" customWidth="1"/>
    <col min="6" max="6" width="3" style="13" bestFit="1" customWidth="1"/>
    <col min="7" max="7" width="8.453125" style="13" bestFit="1" customWidth="1"/>
    <col min="8" max="8" width="3" style="13" bestFit="1" customWidth="1"/>
    <col min="9" max="9" width="8.453125" style="13" bestFit="1" customWidth="1"/>
    <col min="10" max="10" width="3" style="13" bestFit="1" customWidth="1"/>
    <col min="11" max="11" width="8.453125" style="13" bestFit="1" customWidth="1"/>
    <col min="12" max="12" width="3" style="13" bestFit="1" customWidth="1"/>
    <col min="13" max="13" width="10.1796875" style="13" bestFit="1" customWidth="1"/>
    <col min="14" max="14" width="12.81640625" style="13" customWidth="1"/>
    <col min="15" max="16384" width="9.1796875" style="13"/>
  </cols>
  <sheetData>
    <row r="1" spans="1:13" ht="15.5">
      <c r="A1" s="51" t="s">
        <v>248</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249</v>
      </c>
      <c r="B3" s="13" t="s">
        <v>163</v>
      </c>
      <c r="C3" s="13" t="s">
        <v>201</v>
      </c>
      <c r="D3" s="13" t="s">
        <v>209</v>
      </c>
      <c r="E3" s="57">
        <v>867000</v>
      </c>
      <c r="F3" s="13" t="s">
        <v>209</v>
      </c>
      <c r="G3" s="57">
        <v>738000</v>
      </c>
      <c r="H3" s="13" t="s">
        <v>209</v>
      </c>
      <c r="I3" s="57">
        <v>696000</v>
      </c>
      <c r="J3" s="13" t="s">
        <v>209</v>
      </c>
      <c r="K3" s="57">
        <v>945000</v>
      </c>
      <c r="L3" s="13" t="s">
        <v>209</v>
      </c>
      <c r="M3" s="57">
        <v>1040000</v>
      </c>
    </row>
    <row r="4" spans="1:13">
      <c r="E4" s="57"/>
      <c r="G4" s="57"/>
      <c r="I4" s="57"/>
      <c r="K4" s="57"/>
      <c r="M4" s="57"/>
    </row>
    <row r="5" spans="1:13">
      <c r="A5" s="13" t="s">
        <v>19</v>
      </c>
      <c r="B5" s="13" t="s">
        <v>163</v>
      </c>
      <c r="C5" s="13" t="s">
        <v>829</v>
      </c>
      <c r="E5" s="57">
        <v>1821</v>
      </c>
      <c r="G5" s="57">
        <v>1437</v>
      </c>
      <c r="I5" s="57">
        <v>2402</v>
      </c>
      <c r="K5" s="57">
        <v>2766</v>
      </c>
      <c r="M5" s="57">
        <v>3908</v>
      </c>
    </row>
    <row r="6" spans="1:13">
      <c r="A6" s="13" t="s">
        <v>19</v>
      </c>
      <c r="B6" s="13" t="s">
        <v>163</v>
      </c>
      <c r="C6" s="13" t="s">
        <v>201</v>
      </c>
      <c r="E6" s="57">
        <v>4588</v>
      </c>
      <c r="G6" s="57">
        <v>3247</v>
      </c>
      <c r="I6" s="57">
        <v>4591</v>
      </c>
      <c r="K6" s="57">
        <v>4670</v>
      </c>
      <c r="M6" s="57">
        <v>4341</v>
      </c>
    </row>
    <row r="7" spans="1:13">
      <c r="E7" s="57"/>
      <c r="G7" s="57"/>
      <c r="I7" s="57"/>
      <c r="K7" s="57"/>
      <c r="M7" s="57"/>
    </row>
    <row r="8" spans="1:13">
      <c r="A8" s="13" t="s">
        <v>20</v>
      </c>
      <c r="B8" s="13" t="s">
        <v>163</v>
      </c>
      <c r="C8" s="13" t="s">
        <v>829</v>
      </c>
      <c r="E8" s="57">
        <v>48050</v>
      </c>
      <c r="G8" s="57">
        <v>44850</v>
      </c>
      <c r="I8" s="57">
        <v>39451</v>
      </c>
      <c r="K8" s="57">
        <v>61689</v>
      </c>
      <c r="M8" s="57">
        <v>81923</v>
      </c>
    </row>
    <row r="9" spans="1:13">
      <c r="A9" s="13" t="s">
        <v>20</v>
      </c>
      <c r="B9" s="13" t="s">
        <v>163</v>
      </c>
      <c r="C9" s="13" t="s">
        <v>201</v>
      </c>
      <c r="E9" s="57">
        <v>656940</v>
      </c>
      <c r="G9" s="57">
        <v>558961</v>
      </c>
      <c r="I9" s="57">
        <v>527552</v>
      </c>
      <c r="K9" s="57">
        <v>716091</v>
      </c>
      <c r="M9" s="57">
        <v>788097</v>
      </c>
    </row>
    <row r="10" spans="1:13">
      <c r="A10" s="35"/>
      <c r="B10" s="35"/>
      <c r="C10" s="35"/>
      <c r="D10" s="35"/>
      <c r="E10" s="35"/>
      <c r="F10" s="35"/>
      <c r="G10" s="35"/>
      <c r="H10" s="35"/>
      <c r="I10" s="35"/>
      <c r="J10" s="35"/>
      <c r="K10" s="35"/>
      <c r="L10" s="35"/>
      <c r="M10" s="35"/>
    </row>
    <row r="12" spans="1:13">
      <c r="A12" s="13" t="s">
        <v>14</v>
      </c>
      <c r="B12" s="13" t="s">
        <v>15</v>
      </c>
    </row>
    <row r="13" spans="1:13">
      <c r="A13" s="13" t="s">
        <v>215</v>
      </c>
      <c r="B13" s="13" t="s">
        <v>784</v>
      </c>
    </row>
    <row r="16" spans="1:13">
      <c r="A16"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4DFCC-6CF1-422F-A085-7BC4C7814353}">
  <dimension ref="A1:M64"/>
  <sheetViews>
    <sheetView view="pageBreakPreview" zoomScaleNormal="100" zoomScaleSheetLayoutView="100" workbookViewId="0">
      <selection activeCell="B5" sqref="B5"/>
    </sheetView>
  </sheetViews>
  <sheetFormatPr defaultColWidth="9.1796875" defaultRowHeight="14"/>
  <cols>
    <col min="1" max="1" width="21.54296875" style="13" customWidth="1"/>
    <col min="2" max="2" width="32.54296875" style="13" bestFit="1" customWidth="1"/>
    <col min="3" max="3" width="14.54296875" style="13" bestFit="1" customWidth="1"/>
    <col min="4" max="4" width="3.453125" style="13" bestFit="1" customWidth="1"/>
    <col min="5" max="5" width="7.26953125" style="13" bestFit="1" customWidth="1"/>
    <col min="6" max="6" width="3.453125" style="13" bestFit="1" customWidth="1"/>
    <col min="7" max="7" width="7.26953125" style="13" bestFit="1" customWidth="1"/>
    <col min="8" max="8" width="3.453125" style="13" bestFit="1" customWidth="1"/>
    <col min="9" max="9" width="7.26953125" style="13" bestFit="1" customWidth="1"/>
    <col min="10" max="10" width="3.453125" style="13" bestFit="1" customWidth="1"/>
    <col min="11" max="11" width="7.26953125" style="13" bestFit="1" customWidth="1"/>
    <col min="12" max="12" width="3.453125" style="13" bestFit="1" customWidth="1"/>
    <col min="13" max="13" width="7.26953125" style="13" bestFit="1" customWidth="1"/>
    <col min="14" max="14" width="10.7265625" style="13" customWidth="1"/>
    <col min="15" max="16384" width="9.1796875" style="13"/>
  </cols>
  <sheetData>
    <row r="1" spans="1:13" ht="15.5">
      <c r="A1" s="51" t="s">
        <v>250</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251</v>
      </c>
      <c r="C3" s="13" t="s">
        <v>201</v>
      </c>
      <c r="D3" s="13" t="s">
        <v>221</v>
      </c>
      <c r="E3" s="57">
        <v>50000</v>
      </c>
      <c r="F3" s="13" t="s">
        <v>221</v>
      </c>
      <c r="G3" s="57">
        <v>46000</v>
      </c>
      <c r="H3" s="13" t="s">
        <v>221</v>
      </c>
      <c r="I3" s="57">
        <v>46000</v>
      </c>
      <c r="J3" s="13" t="s">
        <v>221</v>
      </c>
      <c r="K3" s="57">
        <v>30000</v>
      </c>
      <c r="L3" s="13" t="s">
        <v>221</v>
      </c>
      <c r="M3" s="57">
        <v>30000</v>
      </c>
    </row>
    <row r="4" spans="1:13">
      <c r="E4" s="57"/>
      <c r="G4" s="57"/>
      <c r="I4" s="57"/>
      <c r="K4" s="57"/>
      <c r="M4" s="57"/>
    </row>
    <row r="5" spans="1:13">
      <c r="A5" s="13" t="s">
        <v>19</v>
      </c>
      <c r="B5" s="13" t="s">
        <v>252</v>
      </c>
      <c r="C5" s="13" t="s">
        <v>829</v>
      </c>
      <c r="D5" s="13" t="s">
        <v>205</v>
      </c>
      <c r="E5" s="57">
        <v>12957</v>
      </c>
      <c r="F5" s="13" t="s">
        <v>205</v>
      </c>
      <c r="G5" s="57">
        <v>12120</v>
      </c>
      <c r="H5" s="13" t="s">
        <v>205</v>
      </c>
      <c r="I5" s="57">
        <v>7983</v>
      </c>
      <c r="J5" s="13" t="s">
        <v>205</v>
      </c>
      <c r="K5" s="57">
        <v>9305</v>
      </c>
      <c r="L5" s="13" t="s">
        <v>205</v>
      </c>
      <c r="M5" s="57">
        <v>14463</v>
      </c>
    </row>
    <row r="6" spans="1:13">
      <c r="A6" s="13" t="s">
        <v>19</v>
      </c>
      <c r="B6" s="13" t="s">
        <v>252</v>
      </c>
      <c r="C6" s="13" t="s">
        <v>201</v>
      </c>
      <c r="D6" s="13" t="s">
        <v>205</v>
      </c>
      <c r="E6" s="57">
        <v>58753</v>
      </c>
      <c r="F6" s="13" t="s">
        <v>205</v>
      </c>
      <c r="G6" s="57">
        <v>63552</v>
      </c>
      <c r="H6" s="13" t="s">
        <v>205</v>
      </c>
      <c r="I6" s="57">
        <v>38595</v>
      </c>
      <c r="J6" s="13" t="s">
        <v>205</v>
      </c>
      <c r="K6" s="57">
        <v>44136</v>
      </c>
      <c r="L6" s="13" t="s">
        <v>205</v>
      </c>
      <c r="M6" s="57">
        <v>44569</v>
      </c>
    </row>
    <row r="7" spans="1:13">
      <c r="E7" s="57"/>
      <c r="G7" s="57"/>
      <c r="I7" s="57"/>
      <c r="K7" s="57"/>
      <c r="M7" s="57"/>
    </row>
    <row r="8" spans="1:13">
      <c r="A8" s="13" t="s">
        <v>20</v>
      </c>
      <c r="B8" s="13" t="s">
        <v>252</v>
      </c>
      <c r="C8" s="13" t="s">
        <v>829</v>
      </c>
      <c r="D8" s="13" t="s">
        <v>205</v>
      </c>
      <c r="E8" s="57">
        <v>4781</v>
      </c>
      <c r="F8" s="13" t="s">
        <v>205</v>
      </c>
      <c r="G8" s="57">
        <v>4448</v>
      </c>
      <c r="H8" s="13" t="s">
        <v>205</v>
      </c>
      <c r="I8" s="57">
        <v>4522</v>
      </c>
      <c r="J8" s="13" t="s">
        <v>205</v>
      </c>
      <c r="K8" s="57">
        <v>2906</v>
      </c>
      <c r="L8" s="13" t="s">
        <v>205</v>
      </c>
      <c r="M8" s="57">
        <v>3324</v>
      </c>
    </row>
    <row r="9" spans="1:13">
      <c r="A9" s="13" t="s">
        <v>20</v>
      </c>
      <c r="B9" s="13" t="s">
        <v>252</v>
      </c>
      <c r="C9" s="13" t="s">
        <v>201</v>
      </c>
      <c r="D9" s="13" t="s">
        <v>205</v>
      </c>
      <c r="E9" s="57">
        <v>14284</v>
      </c>
      <c r="F9" s="13" t="s">
        <v>205</v>
      </c>
      <c r="G9" s="57">
        <v>13205</v>
      </c>
      <c r="H9" s="13" t="s">
        <v>205</v>
      </c>
      <c r="I9" s="57">
        <v>13221</v>
      </c>
      <c r="J9" s="13" t="s">
        <v>205</v>
      </c>
      <c r="K9" s="57">
        <v>7716</v>
      </c>
      <c r="L9" s="13" t="s">
        <v>205</v>
      </c>
      <c r="M9" s="57">
        <v>7339</v>
      </c>
    </row>
    <row r="10" spans="1:13">
      <c r="A10" s="35"/>
      <c r="B10" s="35"/>
      <c r="C10" s="35"/>
      <c r="D10" s="35"/>
      <c r="E10" s="35"/>
      <c r="F10" s="35"/>
      <c r="G10" s="35"/>
      <c r="H10" s="35"/>
      <c r="I10" s="35"/>
      <c r="J10" s="35"/>
      <c r="K10" s="35"/>
      <c r="L10" s="35"/>
      <c r="M10" s="35"/>
    </row>
    <row r="12" spans="1:13">
      <c r="A12" s="13" t="s">
        <v>14</v>
      </c>
      <c r="B12" s="13" t="s">
        <v>15</v>
      </c>
    </row>
    <row r="13" spans="1:13">
      <c r="A13" s="13" t="s">
        <v>221</v>
      </c>
      <c r="B13" s="13" t="s">
        <v>297</v>
      </c>
    </row>
    <row r="14" spans="1:13">
      <c r="A14" s="13" t="s">
        <v>214</v>
      </c>
      <c r="B14" s="13" t="s">
        <v>683</v>
      </c>
    </row>
    <row r="17" spans="1:1">
      <c r="A17"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0CCF-5A27-48D5-A9F0-3719C734ACFF}">
  <dimension ref="A1:M64"/>
  <sheetViews>
    <sheetView view="pageBreakPreview" zoomScaleNormal="100" zoomScaleSheetLayoutView="100" workbookViewId="0">
      <selection activeCell="A5" sqref="A5"/>
    </sheetView>
  </sheetViews>
  <sheetFormatPr defaultColWidth="9.1796875" defaultRowHeight="14"/>
  <cols>
    <col min="1" max="1" width="20.453125" style="13" customWidth="1"/>
    <col min="2" max="2" width="38.54296875" style="13" bestFit="1" customWidth="1"/>
    <col min="3" max="3" width="15.26953125" style="13" bestFit="1" customWidth="1"/>
    <col min="4" max="4" width="3.453125" style="13" bestFit="1" customWidth="1"/>
    <col min="5" max="5" width="7.26953125" style="13" bestFit="1" customWidth="1"/>
    <col min="6" max="6" width="3.453125" style="13" bestFit="1" customWidth="1"/>
    <col min="7" max="7" width="7.26953125" style="13" bestFit="1" customWidth="1"/>
    <col min="8" max="8" width="3.453125" style="13" bestFit="1" customWidth="1"/>
    <col min="9" max="9" width="7.26953125" style="13" bestFit="1" customWidth="1"/>
    <col min="10" max="10" width="3.453125" style="13" bestFit="1" customWidth="1"/>
    <col min="11" max="11" width="7.26953125" style="13" bestFit="1" customWidth="1"/>
    <col min="12" max="12" width="3.453125" style="13" bestFit="1" customWidth="1"/>
    <col min="13" max="13" width="7.26953125" style="13" bestFit="1" customWidth="1"/>
    <col min="14" max="14" width="11.453125" style="13" customWidth="1"/>
    <col min="15" max="16384" width="9.1796875" style="13"/>
  </cols>
  <sheetData>
    <row r="1" spans="1:13" ht="15.5">
      <c r="A1" s="20" t="s">
        <v>253</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254</v>
      </c>
      <c r="C3" s="13" t="s">
        <v>829</v>
      </c>
      <c r="D3" s="13" t="s">
        <v>205</v>
      </c>
      <c r="E3" s="57">
        <v>10434</v>
      </c>
      <c r="F3" s="13" t="s">
        <v>205</v>
      </c>
      <c r="G3" s="57">
        <v>12802</v>
      </c>
      <c r="H3" s="13" t="s">
        <v>205</v>
      </c>
      <c r="I3" s="57">
        <v>9351</v>
      </c>
      <c r="J3" s="13" t="s">
        <v>205</v>
      </c>
      <c r="K3" s="57">
        <v>10366</v>
      </c>
      <c r="L3" s="13" t="s">
        <v>205</v>
      </c>
      <c r="M3" s="57">
        <v>8352</v>
      </c>
    </row>
    <row r="4" spans="1:13">
      <c r="A4" s="13" t="s">
        <v>19</v>
      </c>
      <c r="B4" s="13" t="s">
        <v>254</v>
      </c>
      <c r="C4" s="13" t="s">
        <v>201</v>
      </c>
      <c r="D4" s="13" t="s">
        <v>205</v>
      </c>
      <c r="E4" s="57">
        <v>33816</v>
      </c>
      <c r="F4" s="13" t="s">
        <v>205</v>
      </c>
      <c r="G4" s="57">
        <v>44135</v>
      </c>
      <c r="H4" s="13" t="s">
        <v>205</v>
      </c>
      <c r="I4" s="57">
        <v>47948</v>
      </c>
      <c r="J4" s="13" t="s">
        <v>205</v>
      </c>
      <c r="K4" s="57">
        <v>30698</v>
      </c>
      <c r="L4" s="13" t="s">
        <v>205</v>
      </c>
      <c r="M4" s="57">
        <v>25345</v>
      </c>
    </row>
    <row r="5" spans="1:13">
      <c r="E5" s="57"/>
      <c r="G5" s="57"/>
      <c r="I5" s="57"/>
      <c r="K5" s="57"/>
      <c r="M5" s="57"/>
    </row>
    <row r="6" spans="1:13">
      <c r="A6" s="13" t="s">
        <v>20</v>
      </c>
      <c r="B6" s="13" t="s">
        <v>254</v>
      </c>
      <c r="C6" s="13" t="s">
        <v>829</v>
      </c>
      <c r="D6" s="13" t="s">
        <v>205</v>
      </c>
      <c r="E6" s="57">
        <v>2490</v>
      </c>
      <c r="F6" s="13" t="s">
        <v>205</v>
      </c>
      <c r="G6" s="57">
        <v>2621</v>
      </c>
      <c r="H6" s="13" t="s">
        <v>205</v>
      </c>
      <c r="I6" s="57">
        <v>2175</v>
      </c>
      <c r="J6" s="13" t="s">
        <v>205</v>
      </c>
      <c r="K6" s="57">
        <v>2912</v>
      </c>
      <c r="L6" s="13" t="s">
        <v>205</v>
      </c>
      <c r="M6" s="57">
        <v>2539</v>
      </c>
    </row>
    <row r="7" spans="1:13">
      <c r="A7" s="13" t="s">
        <v>20</v>
      </c>
      <c r="B7" s="13" t="s">
        <v>254</v>
      </c>
      <c r="C7" s="13" t="s">
        <v>201</v>
      </c>
      <c r="D7" s="13" t="s">
        <v>205</v>
      </c>
      <c r="E7" s="57">
        <v>5184</v>
      </c>
      <c r="F7" s="13" t="s">
        <v>205</v>
      </c>
      <c r="G7" s="57">
        <v>5122</v>
      </c>
      <c r="H7" s="13" t="s">
        <v>205</v>
      </c>
      <c r="I7" s="57">
        <v>4100</v>
      </c>
      <c r="J7" s="13" t="s">
        <v>205</v>
      </c>
      <c r="K7" s="57">
        <v>4925</v>
      </c>
      <c r="L7" s="13" t="s">
        <v>205</v>
      </c>
      <c r="M7" s="57">
        <v>3505</v>
      </c>
    </row>
    <row r="8" spans="1:13">
      <c r="A8" s="35"/>
      <c r="B8" s="35"/>
      <c r="C8" s="35"/>
      <c r="D8" s="35"/>
      <c r="E8" s="35"/>
      <c r="F8" s="35"/>
      <c r="G8" s="35"/>
      <c r="H8" s="35"/>
      <c r="I8" s="35"/>
      <c r="J8" s="35"/>
      <c r="K8" s="35"/>
      <c r="L8" s="35"/>
      <c r="M8" s="35"/>
    </row>
    <row r="10" spans="1:13">
      <c r="A10" s="13" t="s">
        <v>14</v>
      </c>
      <c r="B10" s="13" t="s">
        <v>15</v>
      </c>
    </row>
    <row r="11" spans="1:13">
      <c r="A11" s="13" t="s">
        <v>214</v>
      </c>
      <c r="B11" s="13" t="s">
        <v>682</v>
      </c>
    </row>
    <row r="14" spans="1:13">
      <c r="A14"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674B5-AAA4-490B-8EDE-F7B5F4E1C24E}">
  <dimension ref="A1:M64"/>
  <sheetViews>
    <sheetView view="pageBreakPreview" zoomScaleNormal="100" zoomScaleSheetLayoutView="100" workbookViewId="0">
      <selection activeCell="B6" sqref="B6"/>
    </sheetView>
  </sheetViews>
  <sheetFormatPr defaultColWidth="9.1796875" defaultRowHeight="14"/>
  <cols>
    <col min="1" max="1" width="18.7265625" style="13" customWidth="1"/>
    <col min="2" max="2" width="36.1796875" style="13" bestFit="1" customWidth="1"/>
    <col min="3" max="3" width="15.26953125" style="13" bestFit="1" customWidth="1"/>
    <col min="4" max="4" width="2.1796875" style="13" bestFit="1" customWidth="1"/>
    <col min="5" max="5" width="8.453125" style="13" bestFit="1" customWidth="1"/>
    <col min="6" max="6" width="2.1796875" style="13" bestFit="1" customWidth="1"/>
    <col min="7" max="7" width="8.453125" style="13" bestFit="1" customWidth="1"/>
    <col min="8" max="8" width="2.1796875" style="13" bestFit="1" customWidth="1"/>
    <col min="9" max="9" width="8.453125" style="13" bestFit="1" customWidth="1"/>
    <col min="10" max="10" width="2.1796875" style="13" bestFit="1" customWidth="1"/>
    <col min="11" max="11" width="8.453125" style="13" bestFit="1" customWidth="1"/>
    <col min="12" max="12" width="2.1796875" style="13" bestFit="1" customWidth="1"/>
    <col min="13" max="13" width="7.26953125" style="13" bestFit="1" customWidth="1"/>
    <col min="14" max="14" width="6.54296875" style="13" bestFit="1" customWidth="1"/>
    <col min="15" max="16384" width="9.1796875" style="13"/>
  </cols>
  <sheetData>
    <row r="1" spans="1:13" ht="15.5">
      <c r="A1" s="51" t="s">
        <v>255</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256</v>
      </c>
      <c r="C3" s="13" t="s">
        <v>829</v>
      </c>
      <c r="E3" s="57">
        <v>14806</v>
      </c>
      <c r="G3" s="57">
        <v>16443</v>
      </c>
      <c r="I3" s="57">
        <v>21909</v>
      </c>
      <c r="K3" s="57">
        <v>17200</v>
      </c>
      <c r="M3" s="57">
        <v>17048</v>
      </c>
    </row>
    <row r="4" spans="1:13">
      <c r="A4" s="13" t="s">
        <v>19</v>
      </c>
      <c r="B4" s="13" t="s">
        <v>256</v>
      </c>
      <c r="C4" s="13" t="s">
        <v>201</v>
      </c>
      <c r="E4" s="57">
        <v>142665</v>
      </c>
      <c r="G4" s="57">
        <v>121451</v>
      </c>
      <c r="I4" s="57">
        <v>138782</v>
      </c>
      <c r="K4" s="57">
        <v>126738</v>
      </c>
      <c r="M4" s="57">
        <v>99533</v>
      </c>
    </row>
    <row r="5" spans="1:13">
      <c r="E5" s="57"/>
      <c r="G5" s="57"/>
      <c r="I5" s="57"/>
      <c r="K5" s="57"/>
      <c r="M5" s="57"/>
    </row>
    <row r="6" spans="1:13">
      <c r="A6" s="13" t="s">
        <v>20</v>
      </c>
      <c r="B6" s="13" t="s">
        <v>256</v>
      </c>
      <c r="C6" s="13" t="s">
        <v>829</v>
      </c>
      <c r="E6" s="57">
        <v>21262</v>
      </c>
      <c r="G6" s="57">
        <v>21216</v>
      </c>
      <c r="I6" s="57">
        <v>19043</v>
      </c>
      <c r="K6" s="57">
        <v>14702</v>
      </c>
      <c r="M6" s="57">
        <v>9815</v>
      </c>
    </row>
    <row r="7" spans="1:13">
      <c r="A7" s="13" t="s">
        <v>20</v>
      </c>
      <c r="B7" s="13" t="s">
        <v>256</v>
      </c>
      <c r="C7" s="13" t="s">
        <v>201</v>
      </c>
      <c r="E7" s="57">
        <v>30501</v>
      </c>
      <c r="G7" s="57">
        <v>27527</v>
      </c>
      <c r="I7" s="57">
        <v>24869</v>
      </c>
      <c r="K7" s="57">
        <v>18036</v>
      </c>
      <c r="M7" s="57">
        <v>13774</v>
      </c>
    </row>
    <row r="8" spans="1:13">
      <c r="A8" s="35"/>
      <c r="B8" s="35"/>
      <c r="C8" s="35"/>
      <c r="D8" s="35"/>
      <c r="E8" s="35"/>
      <c r="F8" s="35"/>
      <c r="G8" s="35"/>
      <c r="H8" s="35"/>
      <c r="I8" s="35"/>
      <c r="J8" s="35"/>
      <c r="K8" s="35"/>
      <c r="L8" s="35"/>
      <c r="M8" s="35"/>
    </row>
    <row r="11" spans="1:13">
      <c r="A1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CE80-3FD3-42D2-A28D-479CA9C75F07}">
  <dimension ref="A1:M64"/>
  <sheetViews>
    <sheetView view="pageBreakPreview" zoomScaleNormal="100" zoomScaleSheetLayoutView="100" workbookViewId="0">
      <selection activeCell="A6" sqref="A6"/>
    </sheetView>
  </sheetViews>
  <sheetFormatPr defaultColWidth="9.1796875" defaultRowHeight="14"/>
  <cols>
    <col min="1" max="1" width="20.81640625" style="13" customWidth="1"/>
    <col min="2" max="2" width="33.453125" style="13" bestFit="1" customWidth="1"/>
    <col min="3" max="3" width="15.26953125" style="13" bestFit="1" customWidth="1"/>
    <col min="4" max="4" width="2.1796875" style="13" bestFit="1" customWidth="1"/>
    <col min="5" max="5" width="6.1796875" style="13" bestFit="1" customWidth="1"/>
    <col min="6" max="6" width="2.1796875" style="13" bestFit="1" customWidth="1"/>
    <col min="7" max="7" width="6.1796875" style="13" bestFit="1" customWidth="1"/>
    <col min="8" max="8" width="2.1796875" style="13" bestFit="1" customWidth="1"/>
    <col min="9" max="9" width="6.1796875" style="13" bestFit="1" customWidth="1"/>
    <col min="10" max="10" width="2.1796875" style="13" bestFit="1" customWidth="1"/>
    <col min="11" max="11" width="6.1796875" style="13" bestFit="1" customWidth="1"/>
    <col min="12" max="12" width="2.1796875" style="13" bestFit="1" customWidth="1"/>
    <col min="13" max="13" width="6.1796875" style="13" bestFit="1" customWidth="1"/>
    <col min="14" max="14" width="8.453125" style="13" customWidth="1"/>
    <col min="15" max="16384" width="9.1796875" style="13"/>
  </cols>
  <sheetData>
    <row r="1" spans="1:13" ht="15.5">
      <c r="A1" s="51" t="s">
        <v>257</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258</v>
      </c>
      <c r="C3" s="13" t="s">
        <v>829</v>
      </c>
      <c r="E3" s="57">
        <v>2177</v>
      </c>
      <c r="G3" s="57">
        <v>2386</v>
      </c>
      <c r="I3" s="57">
        <v>3644</v>
      </c>
      <c r="K3" s="57">
        <v>1364</v>
      </c>
      <c r="M3" s="57">
        <v>1612</v>
      </c>
    </row>
    <row r="4" spans="1:13">
      <c r="A4" s="13" t="s">
        <v>19</v>
      </c>
      <c r="B4" s="13" t="s">
        <v>258</v>
      </c>
      <c r="C4" s="13" t="s">
        <v>201</v>
      </c>
      <c r="E4" s="13">
        <v>50</v>
      </c>
      <c r="G4" s="13">
        <v>9</v>
      </c>
      <c r="I4" s="13">
        <v>1</v>
      </c>
      <c r="K4" s="13">
        <v>1</v>
      </c>
      <c r="M4" s="13">
        <v>1</v>
      </c>
    </row>
    <row r="5" spans="1:13">
      <c r="A5" s="13" t="s">
        <v>19</v>
      </c>
      <c r="B5" s="13" t="s">
        <v>259</v>
      </c>
      <c r="C5" s="13" t="s">
        <v>829</v>
      </c>
      <c r="E5" s="57">
        <v>1152</v>
      </c>
      <c r="G5" s="57">
        <v>1092</v>
      </c>
      <c r="I5" s="57">
        <v>1062</v>
      </c>
      <c r="K5" s="13">
        <v>517</v>
      </c>
      <c r="M5" s="57">
        <v>1342</v>
      </c>
    </row>
    <row r="6" spans="1:13">
      <c r="A6" s="13" t="s">
        <v>19</v>
      </c>
      <c r="B6" s="13" t="s">
        <v>259</v>
      </c>
      <c r="C6" s="13" t="s">
        <v>201</v>
      </c>
      <c r="E6" s="13">
        <v>13</v>
      </c>
      <c r="G6" s="13">
        <v>4</v>
      </c>
      <c r="I6" s="13">
        <v>5</v>
      </c>
      <c r="K6" s="13">
        <v>3</v>
      </c>
      <c r="M6" s="13">
        <v>4</v>
      </c>
    </row>
    <row r="8" spans="1:13">
      <c r="A8" s="13" t="s">
        <v>20</v>
      </c>
      <c r="B8" s="13" t="s">
        <v>258</v>
      </c>
      <c r="C8" s="13" t="s">
        <v>829</v>
      </c>
      <c r="E8" s="57">
        <v>1180</v>
      </c>
      <c r="G8" s="13">
        <v>272</v>
      </c>
      <c r="I8" s="13">
        <v>191</v>
      </c>
      <c r="K8" s="13">
        <v>414</v>
      </c>
      <c r="M8" s="13">
        <v>359</v>
      </c>
    </row>
    <row r="9" spans="1:13">
      <c r="A9" s="13" t="s">
        <v>20</v>
      </c>
      <c r="B9" s="13" t="s">
        <v>258</v>
      </c>
      <c r="C9" s="13" t="s">
        <v>201</v>
      </c>
      <c r="E9" s="13">
        <v>39</v>
      </c>
      <c r="G9" s="13">
        <v>9</v>
      </c>
      <c r="I9" s="13">
        <v>0</v>
      </c>
      <c r="K9" s="13">
        <v>32</v>
      </c>
      <c r="M9" s="13">
        <v>7</v>
      </c>
    </row>
    <row r="10" spans="1:13">
      <c r="A10" s="13" t="s">
        <v>20</v>
      </c>
      <c r="B10" s="13" t="s">
        <v>259</v>
      </c>
      <c r="C10" s="13" t="s">
        <v>829</v>
      </c>
      <c r="E10" s="13">
        <v>0</v>
      </c>
      <c r="G10" s="13">
        <v>46</v>
      </c>
      <c r="I10" s="13">
        <v>2</v>
      </c>
      <c r="K10" s="13">
        <v>3</v>
      </c>
      <c r="M10" s="13">
        <v>4</v>
      </c>
    </row>
    <row r="11" spans="1:13">
      <c r="A11" s="13" t="s">
        <v>20</v>
      </c>
      <c r="B11" s="13" t="s">
        <v>259</v>
      </c>
      <c r="C11" s="13" t="s">
        <v>201</v>
      </c>
      <c r="E11" s="13">
        <v>0</v>
      </c>
      <c r="G11" s="13">
        <v>2</v>
      </c>
      <c r="I11" s="13">
        <v>0</v>
      </c>
      <c r="K11" s="13">
        <v>0</v>
      </c>
      <c r="M11" s="13">
        <v>0</v>
      </c>
    </row>
    <row r="12" spans="1:13">
      <c r="A12" s="35"/>
      <c r="B12" s="35"/>
      <c r="C12" s="35"/>
      <c r="D12" s="35"/>
      <c r="E12" s="35"/>
      <c r="F12" s="35"/>
      <c r="G12" s="35"/>
      <c r="H12" s="35"/>
      <c r="I12" s="35"/>
      <c r="J12" s="35"/>
      <c r="K12" s="35"/>
      <c r="L12" s="35"/>
      <c r="M12" s="35"/>
    </row>
    <row r="15" spans="1:13">
      <c r="A15"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09D4-5B73-451D-AF78-4D76BE6CC866}">
  <dimension ref="A1:M64"/>
  <sheetViews>
    <sheetView view="pageBreakPreview" zoomScaleNormal="100" zoomScaleSheetLayoutView="100" workbookViewId="0">
      <selection activeCell="A10" sqref="A10"/>
    </sheetView>
  </sheetViews>
  <sheetFormatPr defaultColWidth="9.1796875" defaultRowHeight="14"/>
  <cols>
    <col min="1" max="1" width="20.7265625" style="13" customWidth="1"/>
    <col min="2" max="2" width="26.26953125" style="13" bestFit="1" customWidth="1"/>
    <col min="3" max="3" width="15.26953125" style="13" bestFit="1" customWidth="1"/>
    <col min="4" max="4" width="2.1796875" style="13" bestFit="1" customWidth="1"/>
    <col min="5" max="5" width="5.54296875" style="13" bestFit="1" customWidth="1"/>
    <col min="6" max="6" width="2.1796875" style="13" bestFit="1" customWidth="1"/>
    <col min="7" max="7" width="5.54296875" style="13" bestFit="1" customWidth="1"/>
    <col min="8" max="8" width="2.1796875" style="13" bestFit="1" customWidth="1"/>
    <col min="9" max="9" width="6.1796875" style="13" bestFit="1" customWidth="1"/>
    <col min="10" max="10" width="2.1796875" style="13" bestFit="1" customWidth="1"/>
    <col min="11" max="11" width="6.1796875" style="13" bestFit="1" customWidth="1"/>
    <col min="12" max="12" width="2.1796875" style="13" bestFit="1" customWidth="1"/>
    <col min="13" max="13" width="6.1796875" style="13" bestFit="1" customWidth="1"/>
    <col min="14" max="14" width="8.26953125" style="13" customWidth="1"/>
    <col min="15" max="16384" width="9.1796875" style="13"/>
  </cols>
  <sheetData>
    <row r="1" spans="1:13" ht="15.5">
      <c r="A1" s="20" t="s">
        <v>260</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261</v>
      </c>
      <c r="C3" s="13" t="s">
        <v>829</v>
      </c>
      <c r="E3" s="13">
        <v>706</v>
      </c>
      <c r="G3" s="13">
        <v>679</v>
      </c>
      <c r="I3" s="57">
        <v>1041</v>
      </c>
      <c r="K3" s="57">
        <v>1032</v>
      </c>
      <c r="M3" s="57">
        <v>2736</v>
      </c>
    </row>
    <row r="4" spans="1:13">
      <c r="A4" s="13" t="s">
        <v>19</v>
      </c>
      <c r="B4" s="13" t="s">
        <v>261</v>
      </c>
      <c r="C4" s="13" t="s">
        <v>201</v>
      </c>
      <c r="E4" s="13">
        <v>82</v>
      </c>
      <c r="G4" s="13">
        <v>139</v>
      </c>
      <c r="I4" s="13">
        <v>210</v>
      </c>
      <c r="K4" s="13">
        <v>183</v>
      </c>
      <c r="M4" s="13">
        <v>317</v>
      </c>
    </row>
    <row r="6" spans="1:13">
      <c r="A6" s="13" t="s">
        <v>20</v>
      </c>
      <c r="B6" s="13" t="s">
        <v>261</v>
      </c>
      <c r="C6" s="13" t="s">
        <v>829</v>
      </c>
      <c r="E6" s="13">
        <v>673</v>
      </c>
      <c r="G6" s="13">
        <v>610</v>
      </c>
      <c r="I6" s="13">
        <v>509</v>
      </c>
      <c r="K6" s="13">
        <v>619</v>
      </c>
      <c r="M6" s="13">
        <v>968</v>
      </c>
    </row>
    <row r="7" spans="1:13">
      <c r="A7" s="13" t="s">
        <v>20</v>
      </c>
      <c r="B7" s="13" t="s">
        <v>261</v>
      </c>
      <c r="C7" s="13" t="s">
        <v>201</v>
      </c>
      <c r="E7" s="13">
        <v>26</v>
      </c>
      <c r="G7" s="13">
        <v>22</v>
      </c>
      <c r="I7" s="13">
        <v>20</v>
      </c>
      <c r="K7" s="13">
        <v>19</v>
      </c>
      <c r="M7" s="13">
        <v>31</v>
      </c>
    </row>
    <row r="8" spans="1:13">
      <c r="A8" s="35"/>
      <c r="B8" s="35"/>
      <c r="C8" s="35"/>
      <c r="D8" s="35"/>
      <c r="E8" s="35"/>
      <c r="F8" s="35"/>
      <c r="G8" s="35"/>
      <c r="H8" s="35"/>
      <c r="I8" s="35"/>
      <c r="J8" s="35"/>
      <c r="K8" s="35"/>
      <c r="L8" s="35"/>
      <c r="M8" s="35"/>
    </row>
    <row r="10" spans="1:13">
      <c r="A10" s="13" t="s">
        <v>785</v>
      </c>
    </row>
    <row r="13" spans="1:13">
      <c r="A13"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0F97E-1502-4C56-AEDB-FB93FCCDA702}">
  <dimension ref="A1:M64"/>
  <sheetViews>
    <sheetView view="pageBreakPreview" zoomScaleNormal="100" zoomScaleSheetLayoutView="100" workbookViewId="0"/>
  </sheetViews>
  <sheetFormatPr defaultColWidth="9.1796875" defaultRowHeight="14"/>
  <cols>
    <col min="1" max="1" width="22.1796875" style="13" customWidth="1"/>
    <col min="2" max="2" width="26.7265625" style="13" customWidth="1"/>
    <col min="3" max="3" width="15.26953125" style="13" bestFit="1" customWidth="1"/>
    <col min="4" max="4" width="3.453125" style="13" bestFit="1" customWidth="1"/>
    <col min="5" max="5" width="6.1796875" style="13" bestFit="1" customWidth="1"/>
    <col min="6" max="6" width="3.453125" style="13" bestFit="1" customWidth="1"/>
    <col min="7" max="7" width="6.1796875" style="13" bestFit="1" customWidth="1"/>
    <col min="8" max="8" width="3.453125" style="13" bestFit="1" customWidth="1"/>
    <col min="9" max="9" width="6.1796875" style="13" bestFit="1" customWidth="1"/>
    <col min="10" max="10" width="3.453125" style="13" bestFit="1" customWidth="1"/>
    <col min="11" max="11" width="6.1796875" style="13" bestFit="1" customWidth="1"/>
    <col min="12" max="12" width="3.453125" style="13" bestFit="1" customWidth="1"/>
    <col min="13" max="13" width="6.1796875" style="13" bestFit="1" customWidth="1"/>
    <col min="14" max="14" width="8.453125" style="13" customWidth="1"/>
    <col min="15" max="16384" width="9.1796875" style="13"/>
  </cols>
  <sheetData>
    <row r="1" spans="1:13" ht="15.5">
      <c r="A1" s="51" t="s">
        <v>262</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263</v>
      </c>
      <c r="C3" s="13" t="s">
        <v>829</v>
      </c>
      <c r="D3" s="13" t="s">
        <v>205</v>
      </c>
      <c r="E3" s="57">
        <v>1608</v>
      </c>
      <c r="F3" s="13" t="s">
        <v>205</v>
      </c>
      <c r="G3" s="57">
        <v>1310</v>
      </c>
      <c r="H3" s="13" t="s">
        <v>205</v>
      </c>
      <c r="I3" s="57">
        <v>1334</v>
      </c>
      <c r="J3" s="13" t="s">
        <v>205</v>
      </c>
      <c r="K3" s="57">
        <v>1758</v>
      </c>
      <c r="L3" s="13" t="s">
        <v>205</v>
      </c>
      <c r="M3" s="57">
        <v>1644</v>
      </c>
    </row>
    <row r="4" spans="1:13">
      <c r="A4" s="13" t="s">
        <v>19</v>
      </c>
      <c r="B4" s="13" t="s">
        <v>263</v>
      </c>
      <c r="C4" s="13" t="s">
        <v>201</v>
      </c>
      <c r="D4" s="13" t="s">
        <v>205</v>
      </c>
      <c r="E4" s="57">
        <v>5314</v>
      </c>
      <c r="F4" s="13" t="s">
        <v>205</v>
      </c>
      <c r="G4" s="57">
        <v>4234</v>
      </c>
      <c r="H4" s="13" t="s">
        <v>205</v>
      </c>
      <c r="I4" s="57">
        <v>4321</v>
      </c>
      <c r="J4" s="13" t="s">
        <v>205</v>
      </c>
      <c r="K4" s="57">
        <v>5600</v>
      </c>
      <c r="L4" s="13" t="s">
        <v>205</v>
      </c>
      <c r="M4" s="57">
        <v>4915</v>
      </c>
    </row>
    <row r="5" spans="1:13">
      <c r="E5" s="57"/>
      <c r="G5" s="57"/>
      <c r="I5" s="57"/>
      <c r="K5" s="57"/>
      <c r="M5" s="57"/>
    </row>
    <row r="6" spans="1:13">
      <c r="A6" s="13" t="s">
        <v>20</v>
      </c>
      <c r="B6" s="13" t="s">
        <v>263</v>
      </c>
      <c r="C6" s="13" t="s">
        <v>829</v>
      </c>
      <c r="D6" s="13" t="s">
        <v>205</v>
      </c>
      <c r="E6" s="13">
        <v>401</v>
      </c>
      <c r="F6" s="13" t="s">
        <v>205</v>
      </c>
      <c r="G6" s="13">
        <v>540</v>
      </c>
      <c r="H6" s="13" t="s">
        <v>205</v>
      </c>
      <c r="I6" s="13">
        <v>493</v>
      </c>
      <c r="J6" s="13" t="s">
        <v>205</v>
      </c>
      <c r="K6" s="13">
        <v>501</v>
      </c>
      <c r="L6" s="13" t="s">
        <v>205</v>
      </c>
      <c r="M6" s="13">
        <v>828</v>
      </c>
    </row>
    <row r="7" spans="1:13">
      <c r="A7" s="13" t="s">
        <v>20</v>
      </c>
      <c r="B7" s="13" t="s">
        <v>263</v>
      </c>
      <c r="C7" s="13" t="s">
        <v>201</v>
      </c>
      <c r="D7" s="13" t="s">
        <v>205</v>
      </c>
      <c r="E7" s="13">
        <v>393</v>
      </c>
      <c r="F7" s="13" t="s">
        <v>205</v>
      </c>
      <c r="G7" s="13">
        <v>504</v>
      </c>
      <c r="H7" s="13" t="s">
        <v>205</v>
      </c>
      <c r="I7" s="13">
        <v>504</v>
      </c>
      <c r="J7" s="13" t="s">
        <v>205</v>
      </c>
      <c r="K7" s="13">
        <v>539</v>
      </c>
      <c r="L7" s="13" t="s">
        <v>205</v>
      </c>
      <c r="M7" s="13">
        <v>723</v>
      </c>
    </row>
    <row r="8" spans="1:13">
      <c r="A8" s="35"/>
      <c r="B8" s="35"/>
      <c r="C8" s="35"/>
      <c r="D8" s="35"/>
      <c r="E8" s="35"/>
      <c r="F8" s="35"/>
      <c r="G8" s="35"/>
      <c r="H8" s="35"/>
      <c r="I8" s="35"/>
      <c r="J8" s="35"/>
      <c r="K8" s="35"/>
      <c r="L8" s="35"/>
      <c r="M8" s="35"/>
    </row>
    <row r="10" spans="1:13">
      <c r="A10" s="13" t="s">
        <v>14</v>
      </c>
      <c r="B10" s="13" t="s">
        <v>15</v>
      </c>
    </row>
    <row r="11" spans="1:13">
      <c r="A11" s="13" t="s">
        <v>214</v>
      </c>
      <c r="B11" s="13" t="s">
        <v>264</v>
      </c>
    </row>
    <row r="14" spans="1:13">
      <c r="A14"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E54CD-3F72-4BF5-B947-3681B93B7A16}">
  <dimension ref="A1:L64"/>
  <sheetViews>
    <sheetView view="pageBreakPreview" zoomScaleNormal="100" zoomScaleSheetLayoutView="100" workbookViewId="0">
      <selection activeCell="A13" sqref="A13"/>
    </sheetView>
  </sheetViews>
  <sheetFormatPr defaultColWidth="9.26953125" defaultRowHeight="14"/>
  <cols>
    <col min="1" max="1" width="45.81640625" style="13" customWidth="1"/>
    <col min="2" max="2" width="26.81640625" style="13" customWidth="1"/>
    <col min="3" max="3" width="2.1796875" style="13" bestFit="1" customWidth="1"/>
    <col min="4" max="4" width="9.26953125" style="13" bestFit="1" customWidth="1"/>
    <col min="5" max="5" width="2.1796875" style="13" bestFit="1" customWidth="1"/>
    <col min="6" max="6" width="9.26953125" style="13" bestFit="1" customWidth="1"/>
    <col min="7" max="7" width="2.1796875" style="13" bestFit="1" customWidth="1"/>
    <col min="8" max="8" width="9.26953125" style="13" bestFit="1" customWidth="1"/>
    <col min="9" max="9" width="2.1796875" style="13" bestFit="1" customWidth="1"/>
    <col min="10" max="10" width="9.26953125" style="13" bestFit="1" customWidth="1"/>
    <col min="11" max="11" width="2.1796875" style="13" bestFit="1" customWidth="1"/>
    <col min="12" max="12" width="9.26953125" style="13" bestFit="1" customWidth="1"/>
    <col min="13" max="13" width="10" style="13" customWidth="1"/>
    <col min="14" max="16384" width="9.26953125" style="13"/>
  </cols>
  <sheetData>
    <row r="1" spans="1:12" ht="15.5">
      <c r="A1" s="29" t="s">
        <v>832</v>
      </c>
    </row>
    <row r="2" spans="1:12">
      <c r="A2" s="42" t="s">
        <v>0</v>
      </c>
      <c r="B2" s="42" t="s">
        <v>17</v>
      </c>
      <c r="C2" s="42" t="s">
        <v>1</v>
      </c>
      <c r="D2" s="42">
        <v>2018</v>
      </c>
      <c r="E2" s="42" t="s">
        <v>1</v>
      </c>
      <c r="F2" s="42">
        <v>2019</v>
      </c>
      <c r="G2" s="42" t="s">
        <v>1</v>
      </c>
      <c r="H2" s="42">
        <v>2020</v>
      </c>
      <c r="I2" s="42" t="s">
        <v>1</v>
      </c>
      <c r="J2" s="42">
        <v>2021</v>
      </c>
      <c r="K2" s="42" t="s">
        <v>1</v>
      </c>
      <c r="L2" s="42">
        <v>2022</v>
      </c>
    </row>
    <row r="3" spans="1:12">
      <c r="A3" s="13" t="s">
        <v>265</v>
      </c>
      <c r="B3" s="13" t="s">
        <v>830</v>
      </c>
      <c r="D3" s="44">
        <v>2025</v>
      </c>
      <c r="E3" s="44"/>
      <c r="F3" s="44">
        <v>2002</v>
      </c>
      <c r="G3" s="44"/>
      <c r="H3" s="44">
        <v>1427</v>
      </c>
      <c r="I3" s="44"/>
      <c r="J3" s="44">
        <v>1909</v>
      </c>
      <c r="K3" s="44"/>
      <c r="L3" s="44">
        <v>1959</v>
      </c>
    </row>
    <row r="4" spans="1:12">
      <c r="D4" s="44"/>
      <c r="E4" s="44"/>
      <c r="F4" s="44"/>
      <c r="G4" s="44"/>
      <c r="H4" s="44"/>
      <c r="I4" s="44"/>
      <c r="J4" s="44"/>
      <c r="K4" s="44"/>
      <c r="L4" s="44"/>
    </row>
    <row r="5" spans="1:12">
      <c r="A5" s="13" t="s">
        <v>266</v>
      </c>
      <c r="B5" s="13" t="s">
        <v>831</v>
      </c>
      <c r="D5" s="44">
        <v>25</v>
      </c>
      <c r="E5" s="44"/>
      <c r="F5" s="44">
        <v>23.4</v>
      </c>
      <c r="G5" s="44"/>
      <c r="H5" s="44">
        <v>20.3</v>
      </c>
      <c r="I5" s="44"/>
      <c r="J5" s="44">
        <v>24.4</v>
      </c>
      <c r="K5" s="44"/>
      <c r="L5" s="44">
        <v>23.8</v>
      </c>
    </row>
    <row r="6" spans="1:12">
      <c r="A6" s="13" t="s">
        <v>267</v>
      </c>
      <c r="B6" s="13" t="s">
        <v>831</v>
      </c>
      <c r="D6" s="44">
        <v>21.5</v>
      </c>
      <c r="E6" s="44"/>
      <c r="F6" s="44">
        <v>21.1</v>
      </c>
      <c r="G6" s="44"/>
      <c r="H6" s="44">
        <v>17</v>
      </c>
      <c r="I6" s="44"/>
      <c r="J6" s="44">
        <v>19.899999999999999</v>
      </c>
      <c r="K6" s="44"/>
      <c r="L6" s="44">
        <v>19.5</v>
      </c>
    </row>
    <row r="7" spans="1:12">
      <c r="A7" s="13" t="s">
        <v>268</v>
      </c>
      <c r="B7" s="13" t="s">
        <v>831</v>
      </c>
      <c r="D7" s="44">
        <v>22.9</v>
      </c>
      <c r="E7" s="44"/>
      <c r="F7" s="44">
        <v>27.9</v>
      </c>
      <c r="G7" s="44"/>
      <c r="H7" s="44">
        <v>22</v>
      </c>
      <c r="I7" s="44"/>
      <c r="J7" s="44">
        <v>28.3</v>
      </c>
      <c r="K7" s="44"/>
      <c r="L7" s="44">
        <v>28</v>
      </c>
    </row>
    <row r="8" spans="1:12">
      <c r="A8" s="13" t="s">
        <v>269</v>
      </c>
      <c r="B8" s="13" t="s">
        <v>831</v>
      </c>
      <c r="D8" s="44">
        <v>69.3</v>
      </c>
      <c r="E8" s="44"/>
      <c r="F8" s="44">
        <v>72.400000000000006</v>
      </c>
      <c r="G8" s="44"/>
      <c r="H8" s="44">
        <v>59.3</v>
      </c>
      <c r="I8" s="44"/>
      <c r="J8" s="44">
        <v>72.599999999999994</v>
      </c>
      <c r="K8" s="44"/>
      <c r="L8" s="44">
        <v>71.2</v>
      </c>
    </row>
    <row r="9" spans="1:12">
      <c r="D9" s="44"/>
      <c r="E9" s="44"/>
      <c r="F9" s="44"/>
      <c r="G9" s="44"/>
      <c r="H9" s="44"/>
      <c r="I9" s="44"/>
      <c r="J9" s="44"/>
      <c r="K9" s="44"/>
      <c r="L9" s="44"/>
    </row>
    <row r="10" spans="1:12">
      <c r="A10" s="13" t="s">
        <v>270</v>
      </c>
      <c r="B10" s="13" t="s">
        <v>831</v>
      </c>
      <c r="D10" s="44">
        <v>26.9</v>
      </c>
      <c r="E10" s="44"/>
      <c r="F10" s="44">
        <v>25.9</v>
      </c>
      <c r="G10" s="44"/>
      <c r="H10" s="44">
        <v>16.2</v>
      </c>
      <c r="I10" s="44"/>
      <c r="J10" s="44">
        <v>17.399999999999999</v>
      </c>
      <c r="K10" s="44"/>
      <c r="L10" s="44">
        <v>13.5</v>
      </c>
    </row>
    <row r="11" spans="1:12">
      <c r="A11" s="35"/>
      <c r="B11" s="35"/>
      <c r="C11" s="35"/>
      <c r="D11" s="35"/>
      <c r="E11" s="35"/>
      <c r="F11" s="35"/>
      <c r="G11" s="35"/>
      <c r="H11" s="35"/>
      <c r="I11" s="35"/>
      <c r="J11" s="35"/>
      <c r="K11" s="35"/>
      <c r="L11" s="35"/>
    </row>
    <row r="13" spans="1:12">
      <c r="A13" s="13" t="s">
        <v>786</v>
      </c>
    </row>
    <row r="16" spans="1:12">
      <c r="A16"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81F7A-5100-479C-9199-766C9716CADB}">
  <sheetPr codeName="Sheet2"/>
  <dimension ref="A1:B116"/>
  <sheetViews>
    <sheetView view="pageBreakPreview" topLeftCell="A43" zoomScaleNormal="100" zoomScaleSheetLayoutView="100" workbookViewId="0">
      <selection activeCell="B54" sqref="B54"/>
    </sheetView>
  </sheetViews>
  <sheetFormatPr defaultColWidth="9.1796875" defaultRowHeight="12.5"/>
  <cols>
    <col min="1" max="1" width="4.81640625" style="17" customWidth="1"/>
    <col min="2" max="2" width="82.54296875" style="15" customWidth="1"/>
    <col min="3" max="16384" width="9.1796875" style="16"/>
  </cols>
  <sheetData>
    <row r="1" spans="1:2" ht="13">
      <c r="A1" s="14" t="s">
        <v>441</v>
      </c>
    </row>
    <row r="3" spans="1:2">
      <c r="A3" s="17" t="s">
        <v>228</v>
      </c>
      <c r="B3" s="15" t="s">
        <v>229</v>
      </c>
    </row>
    <row r="4" spans="1:2">
      <c r="A4" s="17">
        <v>1</v>
      </c>
      <c r="B4" s="18" t="str">
        <f>HYPERLINK("[UKMY 2023 PrintableV1.1 12_09_24.xlsx]1!A1","Trade in minerals and mineral-based products compared with total trade 2018 - 2022")</f>
        <v>Trade in minerals and mineral-based products compared with total trade 2018 - 2022</v>
      </c>
    </row>
    <row r="5" spans="1:2">
      <c r="A5" s="17">
        <v>2</v>
      </c>
      <c r="B5" s="18" t="str">
        <f>HYPERLINK("[UKMY 2023 PrintableV1.1 12_09_24.xlsx]2!A1","Balance of trade in minerals and mineral-based products. 2018 - 2022")</f>
        <v>Balance of trade in minerals and mineral-based products. 2018 - 2022</v>
      </c>
    </row>
    <row r="6" spans="1:2">
      <c r="A6" s="17">
        <v>3</v>
      </c>
      <c r="B6" s="18" t="str">
        <f>HYPERLINK("[UKMY 2023 PrintableV1.1 12_09_24.xlsx]3!A1","Approximate value of minerals produced in the United Kingdom 2018 - 2022")</f>
        <v>Approximate value of minerals produced in the United Kingdom 2018 - 2022</v>
      </c>
    </row>
    <row r="7" spans="1:2">
      <c r="A7" s="17">
        <v>4</v>
      </c>
      <c r="B7" s="18" t="str">
        <f>HYPERLINK("[UKMY 2023 PrintableV1.1 12_09_24.xlsx]4!A1","United Kingdom mining and quarrying: Gross value added. 2018 - 2022")</f>
        <v>United Kingdom mining and quarrying: Gross value added. 2018 - 2022</v>
      </c>
    </row>
    <row r="8" spans="1:2">
      <c r="A8" s="17">
        <v>5</v>
      </c>
      <c r="B8" s="18" t="str">
        <f>HYPERLINK("[UKMY 2023 PrintableV1.1 12_09_24.xlsx]5!A1","United Kingdom production of minerals 2018 - 2022")</f>
        <v>United Kingdom production of minerals 2018 - 2022</v>
      </c>
    </row>
    <row r="9" spans="1:2">
      <c r="A9" s="17">
        <v>6</v>
      </c>
      <c r="B9" s="18" t="str">
        <f>HYPERLINK("[UKMY 2023 PrintableV1.1 12_09_24.xlsx]6!A1","England production of minerals 2018 - 2022")</f>
        <v>England production of minerals 2018 - 2022</v>
      </c>
    </row>
    <row r="10" spans="1:2">
      <c r="A10" s="17">
        <v>7</v>
      </c>
      <c r="B10" s="18" t="str">
        <f>HYPERLINK("[UKMY 2023 PrintableV1.1 12_09_24.xlsx]7!A1","Wales production of minerals 2018 - 2022")</f>
        <v>Wales production of minerals 2018 - 2022</v>
      </c>
    </row>
    <row r="11" spans="1:2">
      <c r="A11" s="17">
        <v>8</v>
      </c>
      <c r="B11" s="18" t="str">
        <f>HYPERLINK("[UKMY 2023 PrintableV1.1 12_09_24.xlsx]8!A1","Scotland production of minerals 2018 - 2022")</f>
        <v>Scotland production of minerals 2018 - 2022</v>
      </c>
    </row>
    <row r="12" spans="1:2">
      <c r="A12" s="17">
        <v>9</v>
      </c>
      <c r="B12" s="18" t="str">
        <f>HYPERLINK("[UKMY 2023 PrintableV1.1 12_09_24.xlsx]9!A1","Minerals produced in the Northern Ireland, Isle of Man, Guernsey and Jersey 2018 - 2022")</f>
        <v>Minerals produced in the Northern Ireland, Isle of Man, Guernsey and Jersey 2018 - 2022</v>
      </c>
    </row>
    <row r="13" spans="1:2">
      <c r="A13" s="17">
        <v>10</v>
      </c>
      <c r="B13" s="18" t="str">
        <f>HYPERLINK("[UKMY 2023 PrintableV1.1 12_09_24.xlsx]10!A1","Number of mineral workings in the United Kingdom, by commodity")</f>
        <v>Number of mineral workings in the United Kingdom, by commodity</v>
      </c>
    </row>
    <row r="14" spans="1:2">
      <c r="A14" s="17">
        <v>11</v>
      </c>
      <c r="B14" s="18" t="str">
        <f>HYPERLINK("[UKMY 2023 PrintableV1.1 12_09_24.xlsx]11!A1","Abrasives 2018 - 2022")</f>
        <v>Abrasives 2018 - 2022</v>
      </c>
    </row>
    <row r="15" spans="1:2">
      <c r="A15" s="17">
        <v>12</v>
      </c>
      <c r="B15" s="18" t="str">
        <f>HYPERLINK("[UKMY 2023 PrintableV1.1 12_09_24.xlsx]12!A1","Aggregates 2018 - 2022")</f>
        <v>Aggregates 2018 - 2022</v>
      </c>
    </row>
    <row r="16" spans="1:2">
      <c r="A16" s="17">
        <v>13</v>
      </c>
      <c r="B16" s="18" t="str">
        <f>HYPERLINK("[UKMY 2023 PrintableV1.1 12_09_24.xlsx]13!A1","Aluminium 2018 - 2022")</f>
        <v>Aluminium 2018 - 2022</v>
      </c>
    </row>
    <row r="17" spans="1:2">
      <c r="A17" s="17">
        <v>14</v>
      </c>
      <c r="B17" s="18" t="str">
        <f>HYPERLINK("[UKMY 2023 PrintableV1.1 12_09_24.xlsx]14!A1","Aluminium compounds 2018 - 2022")</f>
        <v>Aluminium compounds 2018 - 2022</v>
      </c>
    </row>
    <row r="18" spans="1:2">
      <c r="A18" s="17">
        <v>15</v>
      </c>
      <c r="B18" s="18" t="str">
        <f>HYPERLINK("[UKMY 2023 PrintableV1.1 12_09_24.xlsx]15!A1","Antimony 2018 - 2022")</f>
        <v>Antimony 2018 - 2022</v>
      </c>
    </row>
    <row r="19" spans="1:2">
      <c r="A19" s="17">
        <v>16</v>
      </c>
      <c r="B19" s="18" t="str">
        <f>HYPERLINK("[UKMY 2023 PrintableV1.1 12_09_24.xlsx]16!A1","Arsenic 2018 - 2022")</f>
        <v>Arsenic 2018 - 2022</v>
      </c>
    </row>
    <row r="20" spans="1:2">
      <c r="A20" s="17">
        <v>17</v>
      </c>
      <c r="B20" s="18" t="str">
        <f>HYPERLINK("[UKMY 2023 PrintableV1.1 12_09_24.xlsx]17!A1","Asbestos 2018 - 2022")</f>
        <v>Asbestos 2018 - 2022</v>
      </c>
    </row>
    <row r="21" spans="1:2">
      <c r="A21" s="17">
        <v>18</v>
      </c>
      <c r="B21" s="18" t="str">
        <f>HYPERLINK("[UKMY 2023 PrintableV1.1 12_09_24.xlsx]18!A1","Asphalt, natural 2018 - 2022")</f>
        <v>Asphalt, natural 2018 - 2022</v>
      </c>
    </row>
    <row r="22" spans="1:2">
      <c r="A22" s="17">
        <v>19</v>
      </c>
      <c r="B22" s="18" t="str">
        <f>HYPERLINK("[UKMY 2023 PrintableV1.1 12_09_24.xlsx]19!A1","Ball clay 2018 - 2022")</f>
        <v>Ball clay 2018 - 2022</v>
      </c>
    </row>
    <row r="23" spans="1:2">
      <c r="A23" s="17">
        <v>20</v>
      </c>
      <c r="B23" s="18" t="str">
        <f>HYPERLINK("[UKMY 2023 PrintableV1.1 12_09_24.xlsx]20!A1","Barytes 2018 - 2022")</f>
        <v>Barytes 2018 - 2022</v>
      </c>
    </row>
    <row r="24" spans="1:2">
      <c r="A24" s="17">
        <v>21</v>
      </c>
      <c r="B24" s="18" t="str">
        <f>HYPERLINK("[UKMY 2023 PrintableV1.1 12_09_24.xlsx]21!A1","Bauxite 2018 - 2022")</f>
        <v>Bauxite 2018 - 2022</v>
      </c>
    </row>
    <row r="25" spans="1:2">
      <c r="A25" s="17">
        <v>22</v>
      </c>
      <c r="B25" s="18" t="str">
        <f>HYPERLINK("[UKMY 2023 PrintableV1.1 12_09_24.xlsx]22!A1","Bentonite 2018 - 2022")</f>
        <v>Bentonite 2018 - 2022</v>
      </c>
    </row>
    <row r="26" spans="1:2">
      <c r="A26" s="17">
        <v>23</v>
      </c>
      <c r="B26" s="18" t="str">
        <f>HYPERLINK("[UKMY 2023 PrintableV1.1 12_09_24.xlsx]23!A1","Beryllium 2018 - 2022")</f>
        <v>Beryllium 2018 - 2022</v>
      </c>
    </row>
    <row r="27" spans="1:2">
      <c r="A27" s="17">
        <v>24</v>
      </c>
      <c r="B27" s="18" t="str">
        <f>HYPERLINK("[UKMY 2023 PrintableV1.1 12_09_24.xlsx]24!A1","Bismuth 2018 - 2022")</f>
        <v>Bismuth 2018 - 2022</v>
      </c>
    </row>
    <row r="28" spans="1:2">
      <c r="A28" s="17">
        <v>25</v>
      </c>
      <c r="B28" s="18" t="str">
        <f>HYPERLINK("[UKMY 2023 PrintableV1.1 12_09_24.xlsx]25!A1","Boron 2018 - 2022")</f>
        <v>Boron 2018 - 2022</v>
      </c>
    </row>
    <row r="29" spans="1:2">
      <c r="A29" s="17">
        <v>26</v>
      </c>
      <c r="B29" s="18" t="str">
        <f>HYPERLINK("[UKMY 2023 PrintableV1.1 12_09_24.xlsx]26!A1","Bricks, blocks and tiles 2018 - 2022")</f>
        <v>Bricks, blocks and tiles 2018 - 2022</v>
      </c>
    </row>
    <row r="30" spans="1:2">
      <c r="A30" s="17">
        <v>27</v>
      </c>
      <c r="B30" s="18" t="str">
        <f>HYPERLINK("[UKMY 2023 PrintableV1.1 12_09_24.xlsx]27!A1","Bromine 2018 - 2022")</f>
        <v>Bromine 2018 - 2022</v>
      </c>
    </row>
    <row r="31" spans="1:2">
      <c r="A31" s="17">
        <v>28</v>
      </c>
      <c r="B31" s="18" t="str">
        <f>HYPERLINK("[UKMY 2023 PrintableV1.1 12_09_24.xlsx]28!A1","Building and dimension stone 2018 - 2022")</f>
        <v>Building and dimension stone 2018 - 2022</v>
      </c>
    </row>
    <row r="32" spans="1:2">
      <c r="A32" s="17">
        <v>29</v>
      </c>
      <c r="B32" s="18" t="str">
        <f>HYPERLINK("[UKMY 2023 PrintableV1.1 12_09_24.xlsx]29!A1","Cadmium 2018 - 2022")</f>
        <v>Cadmium 2018 - 2022</v>
      </c>
    </row>
    <row r="33" spans="1:2">
      <c r="A33" s="17">
        <v>30</v>
      </c>
      <c r="B33" s="18" t="str">
        <f>HYPERLINK("[UKMY 2023 PrintableV1.1 12_09_24.xlsx]30!A1","Cement 2018 - 2022")</f>
        <v>Cement 2018 - 2022</v>
      </c>
    </row>
    <row r="34" spans="1:2">
      <c r="B34" s="19" t="s">
        <v>293</v>
      </c>
    </row>
    <row r="35" spans="1:2">
      <c r="A35" s="17">
        <v>31</v>
      </c>
      <c r="B35" s="18" t="str">
        <f>HYPERLINK("[UKMY 2023 PrintableV1.1 12_09_24.xlsx]31!A1","China clay 2018 - 2022")</f>
        <v>China clay 2018 - 2022</v>
      </c>
    </row>
    <row r="36" spans="1:2">
      <c r="B36" s="19" t="s">
        <v>298</v>
      </c>
    </row>
    <row r="37" spans="1:2">
      <c r="A37" s="17">
        <v>32</v>
      </c>
      <c r="B37" s="18" t="str">
        <f>HYPERLINK("[UKMY 2023 PrintableV1.1 12_09_24.xlsx]32!A1","Chromium 2018 - 2022")</f>
        <v>Chromium 2018 - 2022</v>
      </c>
    </row>
    <row r="38" spans="1:2">
      <c r="A38" s="17">
        <v>33</v>
      </c>
      <c r="B38" s="18" t="str">
        <f>HYPERLINK("[UKMY 2023 PrintableV1.1 12_09_24.xlsx]33!A1","Clays 2018 - 2022")</f>
        <v>Clays 2018 - 2022</v>
      </c>
    </row>
    <row r="39" spans="1:2">
      <c r="A39" s="17">
        <v>34</v>
      </c>
      <c r="B39" s="18" t="str">
        <f>HYPERLINK("[UKMY 2023 PrintableV1.1 12_09_24.xlsx]34!A1","Clay and shale by end-use. 2018 - 2022")</f>
        <v>Clay and shale by end-use. 2018 - 2022</v>
      </c>
    </row>
    <row r="40" spans="1:2">
      <c r="A40" s="17">
        <v>35</v>
      </c>
      <c r="B40" s="18" t="str">
        <f>HYPERLINK("[UKMY 2023 PrintableV1.1 12_09_24.xlsx]35!A1","Coal 2018 - 2022")</f>
        <v>Coal 2018 - 2022</v>
      </c>
    </row>
    <row r="41" spans="1:2">
      <c r="A41" s="17">
        <v>36</v>
      </c>
      <c r="B41" s="18" t="str">
        <f>HYPERLINK("[UKMY 2023 PrintableV1.1 12_09_24.xlsx]36!A1","Cobalt 2018 - 2022")</f>
        <v>Cobalt 2018 - 2022</v>
      </c>
    </row>
    <row r="42" spans="1:2">
      <c r="A42" s="17">
        <v>37</v>
      </c>
      <c r="B42" s="18" t="str">
        <f>HYPERLINK("[UKMY 2023 PrintableV1.1 12_09_24.xlsx]37!A1","Coke and breeze 2018 - 2022")</f>
        <v>Coke and breeze 2018 - 2022</v>
      </c>
    </row>
    <row r="43" spans="1:2">
      <c r="A43" s="17">
        <v>38</v>
      </c>
      <c r="B43" s="18" t="str">
        <f>HYPERLINK("[UKMY 2023 PrintableV1.1 12_09_24.xlsx]38!A1","Copper 2018 - 2022")</f>
        <v>Copper 2018 - 2022</v>
      </c>
    </row>
    <row r="44" spans="1:2">
      <c r="A44" s="17">
        <v>39</v>
      </c>
      <c r="B44" s="18" t="str">
        <f>HYPERLINK("[UKMY 2023 PrintableV1.1 12_09_24.xlsx]39!A1","Crushed rock (see also Aggregates) 2018 - 2022")</f>
        <v>Crushed rock (see also Aggregates) 2018 - 2022</v>
      </c>
    </row>
    <row r="45" spans="1:2">
      <c r="A45" s="17">
        <v>40</v>
      </c>
      <c r="B45" s="18" t="str">
        <f>HYPERLINK("[UKMY 2023 PrintableV1.1 12_09_24.xlsx]40!A1","Crushed rock by region 2018 - 2022")</f>
        <v>Crushed rock by region 2018 - 2022</v>
      </c>
    </row>
    <row r="46" spans="1:2">
      <c r="A46" s="17">
        <v>41</v>
      </c>
      <c r="B46" s="18" t="str">
        <f>HYPERLINK("[UKMY 2023 PrintableV1.1 12_09_24.xlsx]41!A1","Diamond 2018 - 2022")</f>
        <v>Diamond 2018 - 2022</v>
      </c>
    </row>
    <row r="47" spans="1:2">
      <c r="A47" s="17">
        <v>42</v>
      </c>
      <c r="B47" s="18" t="str">
        <f>HYPERLINK("[UKMY 2023 PrintableV1.1 12_09_24.xlsx]42!A1","Diatomite 2018 - 2022")</f>
        <v>Diatomite 2018 - 2022</v>
      </c>
    </row>
    <row r="48" spans="1:2">
      <c r="B48" s="19" t="s">
        <v>359</v>
      </c>
    </row>
    <row r="49" spans="1:2">
      <c r="A49" s="17">
        <v>43</v>
      </c>
      <c r="B49" s="18" t="str">
        <f>HYPERLINK("[UKMY 2023 PrintableV1.1 12_09_24.xlsx]43!A1","Feldspar 2018 - 2022")</f>
        <v>Feldspar 2018 - 2022</v>
      </c>
    </row>
    <row r="50" spans="1:2">
      <c r="A50" s="17">
        <v>44</v>
      </c>
      <c r="B50" s="18" t="str">
        <f>HYPERLINK("[UKMY 2023 PrintableV1.1 12_09_24.xlsx]44!A1","Fireclay 2018 - 2022")</f>
        <v>Fireclay 2018 - 2022</v>
      </c>
    </row>
    <row r="51" spans="1:2">
      <c r="A51" s="17">
        <v>45</v>
      </c>
      <c r="B51" s="18" t="str">
        <f>HYPERLINK("[UKMY 2023 PrintableV1.1 12_09_24.xlsx]45!A1","Fluorspar 2018 - 2022")</f>
        <v>Fluorspar 2018 - 2022</v>
      </c>
    </row>
    <row r="52" spans="1:2">
      <c r="A52" s="17">
        <v>46</v>
      </c>
      <c r="B52" s="18" t="str">
        <f>HYPERLINK("[UKMY 2023 PrintableV1.1 12_09_24.xlsx]46!A1","Gas, natural 2018 - 2022")</f>
        <v>Gas, natural 2018 - 2022</v>
      </c>
    </row>
    <row r="53" spans="1:2">
      <c r="A53" s="17">
        <v>47</v>
      </c>
      <c r="B53" s="18" t="str">
        <f>HYPERLINK("[UKMY 2023 PrintableV1.1 12_09_24.xlsx]47!A1","Germanium 2018 - 2022")</f>
        <v>Germanium 2018 - 2022</v>
      </c>
    </row>
    <row r="54" spans="1:2">
      <c r="A54" s="17">
        <v>48</v>
      </c>
      <c r="B54" s="18" t="str">
        <f>HYPERLINK("[UKMY 2023 PrintableV1.1 12_09_24.xlsx]48!A1","Gold 2018 - 2022")</f>
        <v>Gold 2018 - 2022</v>
      </c>
    </row>
    <row r="55" spans="1:2">
      <c r="B55" s="18" t="s">
        <v>376</v>
      </c>
    </row>
    <row r="56" spans="1:2">
      <c r="A56" s="17">
        <v>49</v>
      </c>
      <c r="B56" s="18" t="str">
        <f>HYPERLINK("[UKMY 2023 PrintableV1.1 12_09_24.xlsx]49!A1","Graphite 2018 - 2022")</f>
        <v>Graphite 2018 - 2022</v>
      </c>
    </row>
    <row r="57" spans="1:2">
      <c r="A57" s="17">
        <v>50</v>
      </c>
      <c r="B57" s="18" t="str">
        <f>HYPERLINK("[UKMY 2023 PrintableV1.1 12_09_24.xlsx]50!A1","Gypsum 2018 - 2022")</f>
        <v>Gypsum 2018 - 2022</v>
      </c>
    </row>
    <row r="58" spans="1:2">
      <c r="A58" s="17">
        <v>51</v>
      </c>
      <c r="B58" s="18" t="str">
        <f>HYPERLINK("[UKMY 2023 PrintableV1.1 12_09_24.xlsx]51!A1","Hafnium 2018 - 2022")</f>
        <v>Hafnium 2018 - 2022</v>
      </c>
    </row>
    <row r="59" spans="1:2">
      <c r="A59" s="17">
        <v>52</v>
      </c>
      <c r="B59" s="18" t="str">
        <f>HYPERLINK("[UKMY 2023 PrintableV1.1 12_09_24.xlsx]52!A1","Igneous rock 2018 - 2022")</f>
        <v>Igneous rock 2018 - 2022</v>
      </c>
    </row>
    <row r="60" spans="1:2">
      <c r="A60" s="17">
        <v>53</v>
      </c>
      <c r="B60" s="18" t="str">
        <f>HYPERLINK("[UKMY 2023 PrintableV1.1 12_09_24.xlsx]53!A1","Insulating materials 2018 - 2022")</f>
        <v>Insulating materials 2018 - 2022</v>
      </c>
    </row>
    <row r="61" spans="1:2">
      <c r="A61" s="17">
        <v>54</v>
      </c>
      <c r="B61" s="18" t="str">
        <f>HYPERLINK("[UKMY 2023 PrintableV1.1 12_09_24.xlsx]54!A1","Iodine  2018 - 2022")</f>
        <v>Iodine  2018 - 2022</v>
      </c>
    </row>
    <row r="62" spans="1:2">
      <c r="A62" s="17">
        <v>55</v>
      </c>
      <c r="B62" s="18" t="str">
        <f>HYPERLINK("[UKMY 2023 PrintableV1.1 12_09_24.xlsx]55!A1","Iron compounds and earth colours 2018 - 2022")</f>
        <v>Iron compounds and earth colours 2018 - 2022</v>
      </c>
    </row>
    <row r="63" spans="1:2">
      <c r="A63" s="17">
        <v>56</v>
      </c>
      <c r="B63" s="18" t="str">
        <f>HYPERLINK("[UKMY 2023 PrintableV1.1 12_09_24.xlsx]56!A1","Iron ore 2018 - 2022")</f>
        <v>Iron ore 2018 - 2022</v>
      </c>
    </row>
    <row r="64" spans="1:2">
      <c r="A64" s="17">
        <v>57</v>
      </c>
      <c r="B64" s="18" t="str">
        <f>HYPERLINK("[UKMY 2023 PrintableV1.1 12_09_24.xlsx]57!A1","Iron and steel  2018 - 2022")</f>
        <v>Iron and steel  2018 - 2022</v>
      </c>
    </row>
    <row r="65" spans="1:2">
      <c r="A65" s="17">
        <v>58</v>
      </c>
      <c r="B65" s="18" t="str">
        <f>HYPERLINK("[UKMY 2023 PrintableV1.1 12_09_24.xlsx]58!A1","Consumption in the iron and steel industry  2018 - 2022")</f>
        <v>Consumption in the iron and steel industry  2018 - 2022</v>
      </c>
    </row>
    <row r="66" spans="1:2">
      <c r="A66" s="17">
        <v>59</v>
      </c>
      <c r="B66" s="18" t="str">
        <f>HYPERLINK("[UKMY 2023 PrintableV1.1 12_09_24.xlsx]59!A1","Lead  2018 - 2022")</f>
        <v>Lead  2018 - 2022</v>
      </c>
    </row>
    <row r="67" spans="1:2">
      <c r="A67" s="17">
        <v>60</v>
      </c>
      <c r="B67" s="18" t="str">
        <f>HYPERLINK("[UKMY 2023 PrintableV1.1 12_09_24.xlsx]60!A1","Limestone, dolomite and chalk  2018 - 2022")</f>
        <v>Limestone, dolomite and chalk  2018 - 2022</v>
      </c>
    </row>
    <row r="68" spans="1:2">
      <c r="A68" s="17">
        <v>61</v>
      </c>
      <c r="B68" s="18" t="str">
        <f>HYPERLINK("[UKMY 2023 PrintableV1.1 12_09_24.xlsx]61!A1","Consumption of dolomite, limestone and lime in iron and steel production. 2018 - 2022")</f>
        <v>Consumption of dolomite, limestone and lime in iron and steel production. 2018 - 2022</v>
      </c>
    </row>
    <row r="69" spans="1:2">
      <c r="A69" s="17">
        <v>62</v>
      </c>
      <c r="B69" s="18" t="str">
        <f>HYPERLINK("[UKMY 2023 PrintableV1.1 12_09_24.xlsx]62!A1","Lithium 2018 - 2022")</f>
        <v>Lithium 2018 - 2022</v>
      </c>
    </row>
    <row r="70" spans="1:2">
      <c r="A70" s="17">
        <v>63</v>
      </c>
      <c r="B70" s="18" t="str">
        <f>HYPERLINK("[UKMY 2023 PrintableV1.1 12_09_24.xlsx]63!A1","Magnesia 2018 - 2022")</f>
        <v>Magnesia 2018 - 2022</v>
      </c>
    </row>
    <row r="71" spans="1:2">
      <c r="A71" s="17">
        <v>64</v>
      </c>
      <c r="B71" s="18" t="str">
        <f>HYPERLINK("[UKMY 2023 PrintableV1.1 12_09_24.xlsx]64!A1","Magnesium 2018 - 2022")</f>
        <v>Magnesium 2018 - 2022</v>
      </c>
    </row>
    <row r="72" spans="1:2">
      <c r="A72" s="17">
        <v>65</v>
      </c>
      <c r="B72" s="18" t="str">
        <f>HYPERLINK("[UKMY 2023 PrintableV1.1 12_09_24.xlsx]65!A1","Manganese 2018 - 2022")</f>
        <v>Manganese 2018 - 2022</v>
      </c>
    </row>
    <row r="73" spans="1:2">
      <c r="A73" s="17">
        <v>66</v>
      </c>
      <c r="B73" s="18" t="str">
        <f>HYPERLINK("[UKMY 2023 PrintableV1.1 12_09_24.xlsx]66!A1","Marble 2018 - 2022")</f>
        <v>Marble 2018 - 2022</v>
      </c>
    </row>
    <row r="74" spans="1:2">
      <c r="A74" s="17">
        <v>67</v>
      </c>
      <c r="B74" s="18" t="str">
        <f>HYPERLINK("[UKMY 2023 PrintableV1.1 12_09_24.xlsx]67!A1","Mercury 2018 - 2022")</f>
        <v>Mercury 2018 - 2022</v>
      </c>
    </row>
    <row r="75" spans="1:2">
      <c r="A75" s="17">
        <v>68</v>
      </c>
      <c r="B75" s="18" t="str">
        <f>HYPERLINK("[UKMY 2023 PrintableV1.1 12_09_24.xlsx]68!A1","Mica 2018 - 2022")</f>
        <v>Mica 2018 - 2022</v>
      </c>
    </row>
    <row r="76" spans="1:2">
      <c r="A76" s="17">
        <v>69</v>
      </c>
      <c r="B76" s="18" t="str">
        <f>HYPERLINK("[UKMY 2023 PrintableV1.1 12_09_24.xlsx]69!A1","Molybdenum 2018 - 2022")</f>
        <v>Molybdenum 2018 - 2022</v>
      </c>
    </row>
    <row r="77" spans="1:2">
      <c r="A77" s="17">
        <v>70</v>
      </c>
      <c r="B77" s="18" t="str">
        <f>HYPERLINK("[UKMY 2023 PrintableV1.1 12_09_24.xlsx]70!A1","Nepheline syenite 2018 - 2022")</f>
        <v>Nepheline syenite 2018 - 2022</v>
      </c>
    </row>
    <row r="78" spans="1:2">
      <c r="A78" s="17">
        <v>71</v>
      </c>
      <c r="B78" s="18" t="str">
        <f>HYPERLINK("[UKMY 2023 PrintableV1.1 12_09_24.xlsx]71!A1","Nickel 2018 - 2022")</f>
        <v>Nickel 2018 - 2022</v>
      </c>
    </row>
    <row r="79" spans="1:2">
      <c r="B79" s="18" t="s">
        <v>490</v>
      </c>
    </row>
    <row r="80" spans="1:2">
      <c r="A80" s="17">
        <v>72</v>
      </c>
      <c r="B80" s="18" t="str">
        <f>HYPERLINK("[UKMY 2023 PrintableV1.1 12_09_24.xlsx]72!A1","Peat 2018 - 2022")</f>
        <v>Peat 2018 - 2022</v>
      </c>
    </row>
    <row r="81" spans="1:2">
      <c r="A81" s="17">
        <v>73</v>
      </c>
      <c r="B81" s="18" t="str">
        <f>HYPERLINK("[UKMY 2023 PrintableV1.1 12_09_24.xlsx]73!A1","Perlite 2018 - 2022")</f>
        <v>Perlite 2018 - 2022</v>
      </c>
    </row>
    <row r="82" spans="1:2">
      <c r="A82" s="17">
        <v>74</v>
      </c>
      <c r="B82" s="18" t="str">
        <f>HYPERLINK("[UKMY 2023 PrintableV1.1 12_09_24.xlsx]74!A1","Petroleum 2018 - 2022")</f>
        <v>Petroleum 2018 - 2022</v>
      </c>
    </row>
    <row r="83" spans="1:2">
      <c r="A83" s="17">
        <v>75</v>
      </c>
      <c r="B83" s="18" t="str">
        <f>HYPERLINK("[UKMY 2023 PrintableV1.1 12_09_24.xlsx]75!A1","Phosphorus 2018 - 2022")</f>
        <v>Phosphorus 2018 - 2022</v>
      </c>
    </row>
    <row r="84" spans="1:2">
      <c r="A84" s="17">
        <v>76</v>
      </c>
      <c r="B84" s="18" t="str">
        <f>HYPERLINK("[UKMY 2023 PrintableV1.1 12_09_24.xlsx]76!A1","Platinum group metals 2018 - 2022")</f>
        <v>Platinum group metals 2018 - 2022</v>
      </c>
    </row>
    <row r="85" spans="1:2">
      <c r="A85" s="17">
        <v>77</v>
      </c>
      <c r="B85" s="18" t="str">
        <f>HYPERLINK("[UKMY 2023 PrintableV1.1 12_09_24.xlsx]77!A1","Potassium compounds 2018 - 2022")</f>
        <v>Potassium compounds 2018 - 2022</v>
      </c>
    </row>
    <row r="86" spans="1:2">
      <c r="A86" s="17">
        <v>78</v>
      </c>
      <c r="B86" s="18" t="str">
        <f>HYPERLINK("[UKMY 2023 PrintableV1.1 12_09_24.xlsx]78!A1","Precious and semi-precious stones 2018 - 2022")</f>
        <v>Precious and semi-precious stones 2018 - 2022</v>
      </c>
    </row>
    <row r="87" spans="1:2">
      <c r="A87" s="17">
        <v>79</v>
      </c>
      <c r="B87" s="18" t="str">
        <f>HYPERLINK("[UKMY 2023 PrintableV1.1 12_09_24.xlsx]79!A1","Primary fuels 2018 - 2022")</f>
        <v>Primary fuels 2018 - 2022</v>
      </c>
    </row>
    <row r="88" spans="1:2">
      <c r="A88" s="17">
        <v>80</v>
      </c>
      <c r="B88" s="18" t="str">
        <f>HYPERLINK("[UKMY 2023 PrintableV1.1 12_09_24.xlsx]80!A1","Consumption of Primary fuels 2018 - 2022")</f>
        <v>Consumption of Primary fuels 2018 - 2022</v>
      </c>
    </row>
    <row r="89" spans="1:2">
      <c r="A89" s="17">
        <v>81</v>
      </c>
      <c r="B89" s="18" t="str">
        <f>HYPERLINK("[UKMY 2023 PrintableV1.1 12_09_24.xlsx]81!A1","Pumice 2018 - 2022")</f>
        <v>Pumice 2018 - 2022</v>
      </c>
    </row>
    <row r="90" spans="1:2">
      <c r="A90" s="17">
        <v>82</v>
      </c>
      <c r="B90" s="18" t="str">
        <f>HYPERLINK("[UKMY 2023 PrintableV1.1 12_09_24.xlsx]82!A1","Pyrite 2018 - 2022")</f>
        <v>Pyrite 2018 - 2022</v>
      </c>
    </row>
    <row r="91" spans="1:2">
      <c r="A91" s="17">
        <v>83</v>
      </c>
      <c r="B91" s="18" t="str">
        <f>HYPERLINK("[UKMY 2023 PrintableV1.1 12_09_24.xlsx]83!A1","Quartz and quartzite 2018 - 2022")</f>
        <v>Quartz and quartzite 2018 - 2022</v>
      </c>
    </row>
    <row r="92" spans="1:2">
      <c r="A92" s="17">
        <v>84</v>
      </c>
      <c r="B92" s="18" t="str">
        <f>HYPERLINK("[UKMY 2023 PrintableV1.1 12_09_24.xlsx]84!A1","Radioactive and associated materials 2018 - 2022")</f>
        <v>Radioactive and associated materials 2018 - 2022</v>
      </c>
    </row>
    <row r="93" spans="1:2">
      <c r="A93" s="17">
        <v>85</v>
      </c>
      <c r="B93" s="18" t="str">
        <f>HYPERLINK("[UKMY 2023 PrintableV1.1 12_09_24.xlsx]85!A1","Rare earths 2018 - 2022")</f>
        <v>Rare earths 2018 - 2022</v>
      </c>
    </row>
    <row r="94" spans="1:2">
      <c r="A94" s="17">
        <v>86</v>
      </c>
      <c r="B94" s="18" t="str">
        <f>HYPERLINK("[UKMY 2023 PrintableV1.1 12_09_24.xlsx]86!A1","Salt 2018 - 2022")</f>
        <v>Salt 2018 - 2022</v>
      </c>
    </row>
    <row r="95" spans="1:2">
      <c r="A95" s="17">
        <v>87</v>
      </c>
      <c r="B95" s="18" t="str">
        <f>HYPERLINK("[UKMY 2023 PrintableV1.1 12_09_24.xlsx]87!A1","Sand and gravel (see Aggregates) 2018 - 2022")</f>
        <v>Sand and gravel (see Aggregates) 2018 - 2022</v>
      </c>
    </row>
    <row r="96" spans="1:2">
      <c r="A96" s="17">
        <v>88</v>
      </c>
      <c r="B96" s="18" t="str">
        <f>HYPERLINK("[UKMY 2023 PrintableV1.1 12_09_24.xlsx]88!A1","United Kingdom production of sand and gravel 2018 - 2022")</f>
        <v>United Kingdom production of sand and gravel 2018 - 2022</v>
      </c>
    </row>
    <row r="97" spans="1:2">
      <c r="A97" s="17">
        <v>89</v>
      </c>
      <c r="B97" s="18" t="str">
        <f>HYPERLINK("[UKMY 2023 PrintableV1.1 12_09_24.xlsx]89!A1","United Kingdom production of sand and gravel by region 2018 - 2022")</f>
        <v>United Kingdom production of sand and gravel by region 2018 - 2022</v>
      </c>
    </row>
    <row r="98" spans="1:2">
      <c r="B98" s="19" t="s">
        <v>581</v>
      </c>
    </row>
    <row r="99" spans="1:2">
      <c r="A99" s="17">
        <v>90</v>
      </c>
      <c r="B99" s="18" t="str">
        <f>HYPERLINK("[UKMY 2023 PrintableV1.1 12_09_24.xlsx]90!A1","Selenium 2018 - 2022")</f>
        <v>Selenium 2018 - 2022</v>
      </c>
    </row>
    <row r="100" spans="1:2">
      <c r="A100" s="17">
        <v>91</v>
      </c>
      <c r="B100" s="18" t="str">
        <f>HYPERLINK("[UKMY 2023 PrintableV1.1 12_09_24.xlsx]91!A1","Silica sand 2018 - 2022")</f>
        <v>Silica sand 2018 - 2022</v>
      </c>
    </row>
    <row r="101" spans="1:2">
      <c r="A101" s="17">
        <v>92</v>
      </c>
      <c r="B101" s="18" t="str">
        <f>HYPERLINK("[UKMY 2023 PrintableV1.1 12_09_24.xlsx]92!A1","Silicon 2018 - 2022")</f>
        <v>Silicon 2018 - 2022</v>
      </c>
    </row>
    <row r="102" spans="1:2">
      <c r="A102" s="17">
        <v>93</v>
      </c>
      <c r="B102" s="18" t="str">
        <f>HYPERLINK("[UKMY 2023 PrintableV1.1 12_09_24.xlsx]93!A1","Sillimanite 2018 - 2022")</f>
        <v>Sillimanite 2018 - 2022</v>
      </c>
    </row>
    <row r="103" spans="1:2">
      <c r="A103" s="17">
        <v>94</v>
      </c>
      <c r="B103" s="18" t="str">
        <f>HYPERLINK("[UKMY 2023 PrintableV1.1 12_09_24.xlsx]94!A1","Silver 2018 - 2022")</f>
        <v>Silver 2018 - 2022</v>
      </c>
    </row>
    <row r="104" spans="1:2">
      <c r="A104" s="17">
        <v>95</v>
      </c>
      <c r="B104" s="18" t="str">
        <f>HYPERLINK("[UKMY 2023 PrintableV1.1 12_09_24.xlsx]95!A1","Slate 2018 - 2022")</f>
        <v>Slate 2018 - 2022</v>
      </c>
    </row>
    <row r="105" spans="1:2">
      <c r="A105" s="17">
        <v>96</v>
      </c>
      <c r="B105" s="18" t="str">
        <f>HYPERLINK("[UKMY 2023 PrintableV1.1 12_09_24.xlsx]96!A1","Strontium 2018 - 2022")</f>
        <v>Strontium 2018 - 2022</v>
      </c>
    </row>
    <row r="106" spans="1:2">
      <c r="A106" s="17">
        <v>97</v>
      </c>
      <c r="B106" s="18" t="str">
        <f>HYPERLINK("[UKMY 2023 PrintableV1.1 12_09_24.xlsx]97!A1","Sulphur 2018 - 2022")</f>
        <v>Sulphur 2018 - 2022</v>
      </c>
    </row>
    <row r="107" spans="1:2">
      <c r="A107" s="17">
        <v>98</v>
      </c>
      <c r="B107" s="18" t="str">
        <f>HYPERLINK("[UKMY 2023 PrintableV1.1 12_09_24.xlsx]98!A1","Talc 2018 - 2022")</f>
        <v>Talc 2018 - 2022</v>
      </c>
    </row>
    <row r="108" spans="1:2">
      <c r="A108" s="17">
        <v>99</v>
      </c>
      <c r="B108" s="18" t="str">
        <f>HYPERLINK("[UKMY 2023 PrintableV1.1 12_09_24.xlsx]99!A1","Tantalum and niobium 2018 - 2022")</f>
        <v>Tantalum and niobium 2018 - 2022</v>
      </c>
    </row>
    <row r="109" spans="1:2">
      <c r="A109" s="17">
        <v>100</v>
      </c>
      <c r="B109" s="18" t="str">
        <f>HYPERLINK("[UKMY 2023 PrintableV1.1 12_09_24.xlsx]100!A1","Tellurium 2018 - 2022")</f>
        <v>Tellurium 2018 - 2022</v>
      </c>
    </row>
    <row r="110" spans="1:2">
      <c r="A110" s="17">
        <v>101</v>
      </c>
      <c r="B110" s="18" t="str">
        <f>HYPERLINK("[UKMY 2023 PrintableV1.1 12_09_24.xlsx]101!A1","Tin 2018 - 2022")</f>
        <v>Tin 2018 - 2022</v>
      </c>
    </row>
    <row r="111" spans="1:2">
      <c r="A111" s="17">
        <v>102</v>
      </c>
      <c r="B111" s="18" t="str">
        <f>HYPERLINK("[UKMY 2023 PrintableV1.1 12_09_24.xlsx]102!A1","Titanium 2018 - 2022")</f>
        <v>Titanium 2018 - 2022</v>
      </c>
    </row>
    <row r="112" spans="1:2">
      <c r="A112" s="17">
        <v>103</v>
      </c>
      <c r="B112" s="18" t="str">
        <f>HYPERLINK("[UKMY 2023 PrintableV1.1 12_09_24.xlsx]103!A1","Tungstun 2018 - 2022")</f>
        <v>Tungstun 2018 - 2022</v>
      </c>
    </row>
    <row r="113" spans="1:2">
      <c r="A113" s="17">
        <v>104</v>
      </c>
      <c r="B113" s="18" t="str">
        <f>HYPERLINK("[UKMY 2023 PrintableV1.1 12_09_24.xlsx]104!A1","Vanadium 2018 - 2022")</f>
        <v>Vanadium 2018 - 2022</v>
      </c>
    </row>
    <row r="114" spans="1:2">
      <c r="A114" s="17">
        <v>105</v>
      </c>
      <c r="B114" s="18" t="str">
        <f>HYPERLINK("[UKMY 2023 PrintableV1.1 12_09_24.xlsx]105!A1","Vermiculite 2018 - 2022")</f>
        <v>Vermiculite 2018 - 2022</v>
      </c>
    </row>
    <row r="115" spans="1:2">
      <c r="A115" s="17">
        <v>106</v>
      </c>
      <c r="B115" s="18" t="str">
        <f>HYPERLINK("[UKMY 2023 PrintableV1.1 12_09_24.xlsx]106!A1","Zinc 2018 - 2022")</f>
        <v>Zinc 2018 - 2022</v>
      </c>
    </row>
    <row r="116" spans="1:2">
      <c r="A116" s="17">
        <v>107</v>
      </c>
      <c r="B116" s="18" t="str">
        <f>HYPERLINK("[UKMY 2023 PrintableV1.1 12_09_24.xlsx]107!A1","Zirconium 2018 - 2022")</f>
        <v>Zirconium 2018 - 2022</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6703B-4699-4067-9CF0-0DCD377D9A4A}">
  <dimension ref="A1:M64"/>
  <sheetViews>
    <sheetView view="pageBreakPreview" zoomScaleNormal="100" zoomScaleSheetLayoutView="100" workbookViewId="0">
      <selection activeCell="B6" sqref="B6"/>
    </sheetView>
  </sheetViews>
  <sheetFormatPr defaultColWidth="9.1796875" defaultRowHeight="14"/>
  <cols>
    <col min="1" max="1" width="21.54296875" style="13" customWidth="1"/>
    <col min="2" max="2" width="26.26953125" style="13" bestFit="1" customWidth="1"/>
    <col min="3" max="3" width="12.26953125" style="13" bestFit="1" customWidth="1"/>
    <col min="4" max="4" width="2.1796875" style="13" bestFit="1" customWidth="1"/>
    <col min="5" max="5" width="10.179687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4" width="11.81640625" style="13" customWidth="1"/>
    <col min="15" max="16384" width="9.1796875" style="13"/>
  </cols>
  <sheetData>
    <row r="1" spans="1:13" ht="15.5">
      <c r="A1" s="51" t="s">
        <v>271</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272</v>
      </c>
      <c r="C3" s="13" t="s">
        <v>829</v>
      </c>
      <c r="E3" s="57">
        <v>9419</v>
      </c>
      <c r="G3" s="57">
        <v>8027</v>
      </c>
      <c r="I3" s="57">
        <v>6026</v>
      </c>
      <c r="K3" s="57">
        <v>6886</v>
      </c>
      <c r="M3" s="57">
        <v>5521</v>
      </c>
    </row>
    <row r="4" spans="1:13">
      <c r="A4" s="13" t="s">
        <v>19</v>
      </c>
      <c r="B4" s="13" t="s">
        <v>272</v>
      </c>
      <c r="C4" s="13" t="s">
        <v>273</v>
      </c>
      <c r="E4" s="57">
        <v>6321131</v>
      </c>
      <c r="G4" s="57">
        <v>5094711</v>
      </c>
      <c r="I4" s="57">
        <v>4375255</v>
      </c>
      <c r="K4" s="57">
        <v>4269427</v>
      </c>
      <c r="M4" s="57">
        <v>4531639</v>
      </c>
    </row>
    <row r="5" spans="1:13">
      <c r="E5" s="57"/>
      <c r="G5" s="57"/>
      <c r="I5" s="57"/>
      <c r="K5" s="57"/>
      <c r="M5" s="57"/>
    </row>
    <row r="6" spans="1:13">
      <c r="A6" s="13" t="s">
        <v>20</v>
      </c>
      <c r="B6" s="13" t="s">
        <v>272</v>
      </c>
      <c r="C6" s="13" t="s">
        <v>829</v>
      </c>
      <c r="E6" s="57">
        <v>4505</v>
      </c>
      <c r="G6" s="57">
        <v>2435</v>
      </c>
      <c r="I6" s="57">
        <v>3094</v>
      </c>
      <c r="K6" s="57">
        <v>2029</v>
      </c>
      <c r="M6" s="57">
        <v>4569</v>
      </c>
    </row>
    <row r="7" spans="1:13">
      <c r="A7" s="13" t="s">
        <v>20</v>
      </c>
      <c r="B7" s="13" t="s">
        <v>272</v>
      </c>
      <c r="C7" s="13" t="s">
        <v>273</v>
      </c>
      <c r="E7" s="57">
        <v>3102894</v>
      </c>
      <c r="G7" s="57">
        <v>1094652</v>
      </c>
      <c r="I7" s="57">
        <v>821489</v>
      </c>
      <c r="K7" s="57">
        <v>931726</v>
      </c>
      <c r="M7" s="57">
        <v>1654817</v>
      </c>
    </row>
    <row r="8" spans="1:13">
      <c r="A8" s="35"/>
      <c r="B8" s="35"/>
      <c r="C8" s="35"/>
      <c r="D8" s="35"/>
      <c r="E8" s="35"/>
      <c r="F8" s="35"/>
      <c r="G8" s="35"/>
      <c r="H8" s="35"/>
      <c r="I8" s="35"/>
      <c r="J8" s="35"/>
      <c r="K8" s="35"/>
      <c r="L8" s="35"/>
      <c r="M8" s="35"/>
    </row>
    <row r="10" spans="1:13" ht="33" customHeight="1">
      <c r="A10" s="103" t="s">
        <v>787</v>
      </c>
      <c r="B10" s="103"/>
      <c r="C10" s="103"/>
      <c r="D10" s="103"/>
      <c r="E10" s="103"/>
      <c r="F10" s="103"/>
      <c r="G10" s="103"/>
      <c r="H10" s="103"/>
      <c r="I10" s="103"/>
      <c r="J10" s="103"/>
      <c r="K10" s="103"/>
      <c r="L10" s="103"/>
    </row>
    <row r="13" spans="1:13">
      <c r="A13" s="46" t="str">
        <f>HYPERLINK("[UKMY 2023 PrintableV1.1 12_09_24.xlsx]Contents!A1","Return to contents page")</f>
        <v>Return to contents page</v>
      </c>
    </row>
    <row r="64" spans="5:5">
      <c r="E64" s="47"/>
    </row>
  </sheetData>
  <mergeCells count="1">
    <mergeCell ref="A10:L10"/>
  </mergeCell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2B002-0F3B-4929-B249-246E228905E0}">
  <dimension ref="A1:M64"/>
  <sheetViews>
    <sheetView view="pageBreakPreview" zoomScaleNormal="100" zoomScaleSheetLayoutView="100" workbookViewId="0">
      <selection activeCell="B43" sqref="B43"/>
    </sheetView>
  </sheetViews>
  <sheetFormatPr defaultColWidth="9.1796875" defaultRowHeight="14"/>
  <cols>
    <col min="1" max="1" width="11.81640625" style="13" customWidth="1"/>
    <col min="2" max="2" width="36" style="37" bestFit="1" customWidth="1"/>
    <col min="3" max="3" width="13.54296875" style="13" bestFit="1" customWidth="1"/>
    <col min="4" max="4" width="3.1796875" style="13" bestFit="1" customWidth="1"/>
    <col min="5" max="5" width="9.1796875" style="13" bestFit="1" customWidth="1"/>
    <col min="6" max="6" width="3.1796875" style="13" bestFit="1" customWidth="1"/>
    <col min="7" max="7" width="9.1796875" style="13" bestFit="1" customWidth="1"/>
    <col min="8" max="8" width="3.1796875" style="13" bestFit="1" customWidth="1"/>
    <col min="9" max="9" width="9.1796875" style="13" bestFit="1" customWidth="1"/>
    <col min="10" max="10" width="3.1796875" style="13" bestFit="1" customWidth="1"/>
    <col min="11" max="11" width="9.1796875" style="13" bestFit="1" customWidth="1"/>
    <col min="12" max="12" width="3.1796875" style="13" bestFit="1" customWidth="1"/>
    <col min="13" max="13" width="9.1796875" style="13" bestFit="1" customWidth="1"/>
    <col min="14" max="14" width="11.7265625" style="13" customWidth="1"/>
    <col min="15" max="16384" width="9.1796875" style="13"/>
  </cols>
  <sheetData>
    <row r="1" spans="1:13" ht="15.5">
      <c r="A1" s="51" t="s">
        <v>274</v>
      </c>
    </row>
    <row r="2" spans="1:13" s="37" customFormat="1">
      <c r="A2" s="30" t="s">
        <v>670</v>
      </c>
      <c r="B2" s="30" t="s">
        <v>0</v>
      </c>
      <c r="C2" s="30" t="s">
        <v>669</v>
      </c>
      <c r="D2" s="30" t="s">
        <v>1</v>
      </c>
      <c r="E2" s="30">
        <v>2018</v>
      </c>
      <c r="F2" s="30" t="s">
        <v>1</v>
      </c>
      <c r="G2" s="30">
        <v>2019</v>
      </c>
      <c r="H2" s="30" t="s">
        <v>1</v>
      </c>
      <c r="I2" s="30">
        <v>2020</v>
      </c>
      <c r="J2" s="30" t="s">
        <v>1</v>
      </c>
      <c r="K2" s="30">
        <v>2021</v>
      </c>
      <c r="L2" s="30" t="s">
        <v>1</v>
      </c>
      <c r="M2" s="30">
        <v>2022</v>
      </c>
    </row>
    <row r="3" spans="1:13">
      <c r="A3" s="16" t="s">
        <v>38</v>
      </c>
      <c r="B3" s="15" t="s">
        <v>275</v>
      </c>
      <c r="C3" s="16" t="s">
        <v>201</v>
      </c>
      <c r="D3" s="16" t="s">
        <v>205</v>
      </c>
      <c r="E3" s="60">
        <v>900000</v>
      </c>
      <c r="F3" s="16" t="s">
        <v>205</v>
      </c>
      <c r="G3" s="60">
        <v>1100000</v>
      </c>
      <c r="H3" s="16" t="s">
        <v>205</v>
      </c>
      <c r="I3" s="60">
        <v>900000</v>
      </c>
      <c r="J3" s="16" t="s">
        <v>205</v>
      </c>
      <c r="K3" s="60">
        <v>1200000</v>
      </c>
      <c r="L3" s="16" t="s">
        <v>205</v>
      </c>
      <c r="M3" s="60">
        <v>1000000</v>
      </c>
    </row>
    <row r="4" spans="1:13">
      <c r="A4" s="16"/>
      <c r="B4" s="15"/>
      <c r="C4" s="16"/>
      <c r="D4" s="16"/>
      <c r="E4" s="60"/>
      <c r="F4" s="16"/>
      <c r="G4" s="60"/>
      <c r="H4" s="16"/>
      <c r="I4" s="60"/>
      <c r="J4" s="16"/>
      <c r="K4" s="60"/>
      <c r="L4" s="16"/>
      <c r="M4" s="60"/>
    </row>
    <row r="5" spans="1:13">
      <c r="A5" s="16" t="s">
        <v>19</v>
      </c>
      <c r="B5" s="15" t="s">
        <v>740</v>
      </c>
      <c r="C5" s="16" t="s">
        <v>829</v>
      </c>
      <c r="D5" s="16"/>
      <c r="E5" s="60">
        <v>15895</v>
      </c>
      <c r="F5" s="16"/>
      <c r="G5" s="60">
        <v>11865</v>
      </c>
      <c r="H5" s="16"/>
      <c r="I5" s="60">
        <v>13467</v>
      </c>
      <c r="J5" s="16"/>
      <c r="K5" s="60">
        <v>22191</v>
      </c>
      <c r="L5" s="16"/>
      <c r="M5" s="60">
        <v>32629</v>
      </c>
    </row>
    <row r="6" spans="1:13">
      <c r="A6" s="16" t="s">
        <v>19</v>
      </c>
      <c r="B6" s="15" t="s">
        <v>740</v>
      </c>
      <c r="C6" s="16" t="s">
        <v>201</v>
      </c>
      <c r="D6" s="16"/>
      <c r="E6" s="60">
        <v>33351</v>
      </c>
      <c r="F6" s="16"/>
      <c r="G6" s="60">
        <v>35478</v>
      </c>
      <c r="H6" s="16"/>
      <c r="I6" s="60">
        <v>50326</v>
      </c>
      <c r="J6" s="16"/>
      <c r="K6" s="60">
        <v>76563</v>
      </c>
      <c r="L6" s="16"/>
      <c r="M6" s="60">
        <v>78363</v>
      </c>
    </row>
    <row r="7" spans="1:13">
      <c r="A7" s="16" t="s">
        <v>19</v>
      </c>
      <c r="B7" s="15" t="s">
        <v>741</v>
      </c>
      <c r="C7" s="16" t="s">
        <v>829</v>
      </c>
      <c r="D7" s="16" t="s">
        <v>209</v>
      </c>
      <c r="E7" s="60">
        <v>57095</v>
      </c>
      <c r="F7" s="16" t="s">
        <v>209</v>
      </c>
      <c r="G7" s="60">
        <v>63284</v>
      </c>
      <c r="H7" s="16" t="s">
        <v>209</v>
      </c>
      <c r="I7" s="60">
        <v>71258</v>
      </c>
      <c r="J7" s="16" t="s">
        <v>209</v>
      </c>
      <c r="K7" s="60">
        <v>79060</v>
      </c>
      <c r="L7" s="16" t="s">
        <v>209</v>
      </c>
      <c r="M7" s="60">
        <v>72469</v>
      </c>
    </row>
    <row r="8" spans="1:13">
      <c r="A8" s="16" t="s">
        <v>19</v>
      </c>
      <c r="B8" s="15" t="s">
        <v>741</v>
      </c>
      <c r="C8" s="16" t="s">
        <v>201</v>
      </c>
      <c r="D8" s="16" t="s">
        <v>209</v>
      </c>
      <c r="E8" s="60">
        <v>2953475</v>
      </c>
      <c r="F8" s="16" t="s">
        <v>209</v>
      </c>
      <c r="G8" s="60">
        <v>3197438</v>
      </c>
      <c r="H8" s="16" t="s">
        <v>209</v>
      </c>
      <c r="I8" s="60">
        <v>3426506</v>
      </c>
      <c r="J8" s="16" t="s">
        <v>209</v>
      </c>
      <c r="K8" s="60">
        <v>3983561</v>
      </c>
      <c r="L8" s="16" t="s">
        <v>209</v>
      </c>
      <c r="M8" s="60">
        <v>4335654</v>
      </c>
    </row>
    <row r="9" spans="1:13" ht="25.5">
      <c r="A9" s="16" t="s">
        <v>19</v>
      </c>
      <c r="B9" s="15" t="s">
        <v>742</v>
      </c>
      <c r="C9" s="16" t="s">
        <v>829</v>
      </c>
      <c r="D9" s="16"/>
      <c r="E9" s="60">
        <v>87896</v>
      </c>
      <c r="F9" s="16"/>
      <c r="G9" s="60">
        <v>87513</v>
      </c>
      <c r="H9" s="16"/>
      <c r="I9" s="60">
        <v>93786</v>
      </c>
      <c r="J9" s="16"/>
      <c r="K9" s="60">
        <v>133344</v>
      </c>
      <c r="L9" s="16"/>
      <c r="M9" s="60">
        <v>92008</v>
      </c>
    </row>
    <row r="10" spans="1:13" ht="25.5">
      <c r="A10" s="16" t="s">
        <v>19</v>
      </c>
      <c r="B10" s="15" t="s">
        <v>742</v>
      </c>
      <c r="C10" s="16" t="s">
        <v>201</v>
      </c>
      <c r="D10" s="16"/>
      <c r="E10" s="60">
        <v>421809</v>
      </c>
      <c r="F10" s="16"/>
      <c r="G10" s="60">
        <v>421279</v>
      </c>
      <c r="H10" s="16"/>
      <c r="I10" s="60">
        <v>427343</v>
      </c>
      <c r="J10" s="16"/>
      <c r="K10" s="60">
        <v>459602</v>
      </c>
      <c r="L10" s="16"/>
      <c r="M10" s="60">
        <v>255489</v>
      </c>
    </row>
    <row r="11" spans="1:13" ht="25.5">
      <c r="A11" s="16" t="s">
        <v>19</v>
      </c>
      <c r="B11" s="15" t="s">
        <v>772</v>
      </c>
      <c r="C11" s="16" t="s">
        <v>829</v>
      </c>
      <c r="D11" s="16"/>
      <c r="E11" s="60">
        <v>11817</v>
      </c>
      <c r="F11" s="16"/>
      <c r="G11" s="60">
        <v>10833</v>
      </c>
      <c r="H11" s="16"/>
      <c r="I11" s="60">
        <v>11284</v>
      </c>
      <c r="J11" s="16"/>
      <c r="K11" s="60">
        <v>16205</v>
      </c>
      <c r="L11" s="16"/>
      <c r="M11" s="60">
        <v>18948</v>
      </c>
    </row>
    <row r="12" spans="1:13" ht="25.5">
      <c r="A12" s="16" t="s">
        <v>19</v>
      </c>
      <c r="B12" s="15" t="s">
        <v>772</v>
      </c>
      <c r="C12" s="16" t="s">
        <v>201</v>
      </c>
      <c r="D12" s="16"/>
      <c r="E12" s="60">
        <v>243198</v>
      </c>
      <c r="F12" s="16"/>
      <c r="G12" s="60">
        <v>151549</v>
      </c>
      <c r="H12" s="16"/>
      <c r="I12" s="60">
        <v>90571</v>
      </c>
      <c r="J12" s="16"/>
      <c r="K12" s="60">
        <v>60918</v>
      </c>
      <c r="L12" s="16"/>
      <c r="M12" s="60">
        <v>227161</v>
      </c>
    </row>
    <row r="13" spans="1:13">
      <c r="A13" s="16" t="s">
        <v>19</v>
      </c>
      <c r="B13" s="15" t="s">
        <v>743</v>
      </c>
      <c r="C13" s="16" t="s">
        <v>829</v>
      </c>
      <c r="D13" s="16"/>
      <c r="E13" s="60">
        <v>41948</v>
      </c>
      <c r="F13" s="16"/>
      <c r="G13" s="60">
        <v>59458</v>
      </c>
      <c r="H13" s="16"/>
      <c r="I13" s="60">
        <v>40933</v>
      </c>
      <c r="J13" s="16"/>
      <c r="K13" s="60">
        <v>15827</v>
      </c>
      <c r="L13" s="16"/>
      <c r="M13" s="60">
        <v>91699</v>
      </c>
    </row>
    <row r="14" spans="1:13">
      <c r="A14" s="16" t="s">
        <v>19</v>
      </c>
      <c r="B14" s="15" t="s">
        <v>743</v>
      </c>
      <c r="C14" s="16" t="s">
        <v>201</v>
      </c>
      <c r="D14" s="16"/>
      <c r="E14" s="60">
        <v>46885</v>
      </c>
      <c r="F14" s="16"/>
      <c r="G14" s="60">
        <v>55830</v>
      </c>
      <c r="H14" s="16"/>
      <c r="I14" s="60">
        <v>42766</v>
      </c>
      <c r="J14" s="16"/>
      <c r="K14" s="60">
        <v>27745</v>
      </c>
      <c r="L14" s="16"/>
      <c r="M14" s="60">
        <v>67670</v>
      </c>
    </row>
    <row r="15" spans="1:13">
      <c r="A15" s="16" t="s">
        <v>19</v>
      </c>
      <c r="B15" s="15" t="s">
        <v>744</v>
      </c>
      <c r="C15" s="16" t="s">
        <v>829</v>
      </c>
      <c r="D15" s="16"/>
      <c r="E15" s="60">
        <v>55251</v>
      </c>
      <c r="F15" s="16"/>
      <c r="G15" s="60">
        <v>54037</v>
      </c>
      <c r="H15" s="16"/>
      <c r="I15" s="60">
        <v>40345</v>
      </c>
      <c r="J15" s="16"/>
      <c r="K15" s="60">
        <v>57130</v>
      </c>
      <c r="L15" s="16"/>
      <c r="M15" s="60">
        <v>72323</v>
      </c>
    </row>
    <row r="16" spans="1:13">
      <c r="A16" s="16" t="s">
        <v>19</v>
      </c>
      <c r="B16" s="15" t="s">
        <v>744</v>
      </c>
      <c r="C16" s="16" t="s">
        <v>201</v>
      </c>
      <c r="D16" s="16"/>
      <c r="E16" s="60">
        <v>73114</v>
      </c>
      <c r="F16" s="16"/>
      <c r="G16" s="60">
        <v>69443</v>
      </c>
      <c r="H16" s="16"/>
      <c r="I16" s="60">
        <v>51295</v>
      </c>
      <c r="J16" s="16"/>
      <c r="K16" s="60">
        <v>62799</v>
      </c>
      <c r="L16" s="16"/>
      <c r="M16" s="60">
        <v>74790</v>
      </c>
    </row>
    <row r="17" spans="1:13" ht="25.5">
      <c r="A17" s="16" t="s">
        <v>19</v>
      </c>
      <c r="B17" s="15" t="s">
        <v>745</v>
      </c>
      <c r="C17" s="16" t="s">
        <v>829</v>
      </c>
      <c r="D17" s="16"/>
      <c r="E17" s="60">
        <v>22471</v>
      </c>
      <c r="F17" s="16"/>
      <c r="G17" s="60">
        <v>29027</v>
      </c>
      <c r="H17" s="16"/>
      <c r="I17" s="60">
        <v>25000</v>
      </c>
      <c r="J17" s="16"/>
      <c r="K17" s="60">
        <v>60519</v>
      </c>
      <c r="L17" s="16"/>
      <c r="M17" s="60">
        <v>60970</v>
      </c>
    </row>
    <row r="18" spans="1:13" ht="25.5">
      <c r="A18" s="16" t="s">
        <v>19</v>
      </c>
      <c r="B18" s="15" t="s">
        <v>745</v>
      </c>
      <c r="C18" s="16" t="s">
        <v>201</v>
      </c>
      <c r="D18" s="16"/>
      <c r="E18" s="60">
        <v>22516</v>
      </c>
      <c r="F18" s="16"/>
      <c r="G18" s="60">
        <v>25961</v>
      </c>
      <c r="H18" s="16"/>
      <c r="I18" s="60">
        <v>44764</v>
      </c>
      <c r="J18" s="16"/>
      <c r="K18" s="60">
        <v>109924</v>
      </c>
      <c r="L18" s="16"/>
      <c r="M18" s="60">
        <v>102718</v>
      </c>
    </row>
    <row r="19" spans="1:13" ht="25.5">
      <c r="A19" s="16" t="s">
        <v>19</v>
      </c>
      <c r="B19" s="15" t="s">
        <v>276</v>
      </c>
      <c r="C19" s="16" t="s">
        <v>829</v>
      </c>
      <c r="D19" s="16"/>
      <c r="E19" s="60">
        <v>64648</v>
      </c>
      <c r="F19" s="16"/>
      <c r="G19" s="60">
        <v>74254</v>
      </c>
      <c r="H19" s="16"/>
      <c r="I19" s="60">
        <v>68472</v>
      </c>
      <c r="J19" s="16"/>
      <c r="K19" s="60">
        <v>115945</v>
      </c>
      <c r="L19" s="16"/>
      <c r="M19" s="60">
        <v>69526</v>
      </c>
    </row>
    <row r="20" spans="1:13" ht="25.5">
      <c r="A20" s="16" t="s">
        <v>19</v>
      </c>
      <c r="B20" s="15" t="s">
        <v>276</v>
      </c>
      <c r="C20" s="16" t="s">
        <v>201</v>
      </c>
      <c r="D20" s="16"/>
      <c r="E20" s="60">
        <v>278317</v>
      </c>
      <c r="F20" s="16"/>
      <c r="G20" s="60">
        <v>313922</v>
      </c>
      <c r="H20" s="16"/>
      <c r="I20" s="60">
        <v>346515</v>
      </c>
      <c r="J20" s="16"/>
      <c r="K20" s="60">
        <v>370649</v>
      </c>
      <c r="L20" s="16"/>
      <c r="M20" s="60">
        <v>176611</v>
      </c>
    </row>
    <row r="21" spans="1:13">
      <c r="A21" s="16"/>
      <c r="B21" s="15"/>
      <c r="C21" s="16"/>
      <c r="D21" s="16"/>
      <c r="E21" s="60"/>
      <c r="F21" s="16"/>
      <c r="G21" s="60"/>
      <c r="H21" s="16"/>
      <c r="I21" s="60"/>
      <c r="J21" s="16"/>
      <c r="K21" s="60"/>
      <c r="L21" s="16"/>
      <c r="M21" s="60"/>
    </row>
    <row r="22" spans="1:13">
      <c r="A22" s="16" t="s">
        <v>20</v>
      </c>
      <c r="B22" s="15" t="s">
        <v>740</v>
      </c>
      <c r="C22" s="16" t="s">
        <v>829</v>
      </c>
      <c r="D22" s="16"/>
      <c r="E22" s="16">
        <v>836</v>
      </c>
      <c r="F22" s="16"/>
      <c r="G22" s="60">
        <v>1225</v>
      </c>
      <c r="H22" s="16"/>
      <c r="I22" s="16">
        <v>816</v>
      </c>
      <c r="J22" s="16"/>
      <c r="K22" s="16">
        <v>863</v>
      </c>
      <c r="L22" s="16"/>
      <c r="M22" s="60">
        <v>1265</v>
      </c>
    </row>
    <row r="23" spans="1:13">
      <c r="A23" s="16" t="s">
        <v>20</v>
      </c>
      <c r="B23" s="15" t="s">
        <v>740</v>
      </c>
      <c r="C23" s="16" t="s">
        <v>201</v>
      </c>
      <c r="D23" s="16"/>
      <c r="E23" s="60">
        <v>1219</v>
      </c>
      <c r="F23" s="16"/>
      <c r="G23" s="60">
        <v>1265</v>
      </c>
      <c r="H23" s="16"/>
      <c r="I23" s="16">
        <v>723</v>
      </c>
      <c r="J23" s="16"/>
      <c r="K23" s="16">
        <v>681</v>
      </c>
      <c r="L23" s="16"/>
      <c r="M23" s="60">
        <v>1126</v>
      </c>
    </row>
    <row r="24" spans="1:13">
      <c r="A24" s="16" t="s">
        <v>20</v>
      </c>
      <c r="B24" s="15" t="s">
        <v>741</v>
      </c>
      <c r="C24" s="16" t="s">
        <v>829</v>
      </c>
      <c r="D24" s="16"/>
      <c r="E24" s="60">
        <v>2361</v>
      </c>
      <c r="F24" s="16"/>
      <c r="G24" s="60">
        <v>1913</v>
      </c>
      <c r="H24" s="16"/>
      <c r="I24" s="16">
        <v>573</v>
      </c>
      <c r="J24" s="16"/>
      <c r="K24" s="16">
        <v>821</v>
      </c>
      <c r="L24" s="16"/>
      <c r="M24" s="16">
        <v>831</v>
      </c>
    </row>
    <row r="25" spans="1:13">
      <c r="A25" s="16" t="s">
        <v>20</v>
      </c>
      <c r="B25" s="15" t="s">
        <v>741</v>
      </c>
      <c r="C25" s="16" t="s">
        <v>201</v>
      </c>
      <c r="D25" s="16"/>
      <c r="E25" s="60">
        <v>12705</v>
      </c>
      <c r="F25" s="16"/>
      <c r="G25" s="60">
        <v>11536</v>
      </c>
      <c r="H25" s="16"/>
      <c r="I25" s="60">
        <v>1747</v>
      </c>
      <c r="J25" s="16"/>
      <c r="K25" s="60">
        <v>2068</v>
      </c>
      <c r="L25" s="16"/>
      <c r="M25" s="16">
        <v>650</v>
      </c>
    </row>
    <row r="26" spans="1:13" ht="25.5">
      <c r="A26" s="16" t="s">
        <v>20</v>
      </c>
      <c r="B26" s="15" t="s">
        <v>742</v>
      </c>
      <c r="C26" s="16" t="s">
        <v>829</v>
      </c>
      <c r="D26" s="16"/>
      <c r="E26" s="16">
        <v>289</v>
      </c>
      <c r="F26" s="16"/>
      <c r="G26" s="16">
        <v>638</v>
      </c>
      <c r="H26" s="16"/>
      <c r="I26" s="16">
        <v>105</v>
      </c>
      <c r="J26" s="16"/>
      <c r="K26" s="16">
        <v>902</v>
      </c>
      <c r="L26" s="16"/>
      <c r="M26" s="16">
        <v>358</v>
      </c>
    </row>
    <row r="27" spans="1:13" ht="25.5">
      <c r="A27" s="16" t="s">
        <v>20</v>
      </c>
      <c r="B27" s="15" t="s">
        <v>742</v>
      </c>
      <c r="C27" s="16" t="s">
        <v>201</v>
      </c>
      <c r="D27" s="16"/>
      <c r="E27" s="16">
        <v>669</v>
      </c>
      <c r="F27" s="16"/>
      <c r="G27" s="60">
        <v>1014</v>
      </c>
      <c r="H27" s="16"/>
      <c r="I27" s="16">
        <v>111</v>
      </c>
      <c r="J27" s="16"/>
      <c r="K27" s="60">
        <v>1743</v>
      </c>
      <c r="L27" s="16"/>
      <c r="M27" s="16">
        <v>713</v>
      </c>
    </row>
    <row r="28" spans="1:13" ht="25.5">
      <c r="A28" s="16" t="s">
        <v>20</v>
      </c>
      <c r="B28" s="15" t="s">
        <v>772</v>
      </c>
      <c r="C28" s="16" t="s">
        <v>829</v>
      </c>
      <c r="D28" s="16"/>
      <c r="E28" s="16">
        <v>405</v>
      </c>
      <c r="F28" s="16"/>
      <c r="G28" s="16">
        <v>366</v>
      </c>
      <c r="H28" s="16"/>
      <c r="I28" s="16">
        <v>266</v>
      </c>
      <c r="J28" s="16"/>
      <c r="K28" s="16">
        <v>701</v>
      </c>
      <c r="L28" s="16"/>
      <c r="M28" s="16">
        <v>502</v>
      </c>
    </row>
    <row r="29" spans="1:13" ht="25.5">
      <c r="A29" s="16" t="s">
        <v>20</v>
      </c>
      <c r="B29" s="15" t="s">
        <v>772</v>
      </c>
      <c r="C29" s="16" t="s">
        <v>201</v>
      </c>
      <c r="D29" s="16"/>
      <c r="E29" s="16">
        <v>646</v>
      </c>
      <c r="F29" s="16"/>
      <c r="G29" s="16">
        <v>731</v>
      </c>
      <c r="H29" s="16"/>
      <c r="I29" s="16">
        <v>445</v>
      </c>
      <c r="J29" s="16"/>
      <c r="K29" s="60">
        <v>1431</v>
      </c>
      <c r="L29" s="16"/>
      <c r="M29" s="60">
        <v>1841</v>
      </c>
    </row>
    <row r="30" spans="1:13">
      <c r="A30" s="16" t="s">
        <v>20</v>
      </c>
      <c r="B30" s="15" t="s">
        <v>743</v>
      </c>
      <c r="C30" s="16" t="s">
        <v>829</v>
      </c>
      <c r="D30" s="16"/>
      <c r="E30" s="60">
        <v>4246</v>
      </c>
      <c r="F30" s="16"/>
      <c r="G30" s="60">
        <v>4666</v>
      </c>
      <c r="H30" s="16"/>
      <c r="I30" s="60">
        <v>3589</v>
      </c>
      <c r="J30" s="16"/>
      <c r="K30" s="60">
        <v>1314</v>
      </c>
      <c r="L30" s="16"/>
      <c r="M30" s="60">
        <v>4177</v>
      </c>
    </row>
    <row r="31" spans="1:13">
      <c r="A31" s="16" t="s">
        <v>20</v>
      </c>
      <c r="B31" s="15" t="s">
        <v>743</v>
      </c>
      <c r="C31" s="16" t="s">
        <v>201</v>
      </c>
      <c r="D31" s="16"/>
      <c r="E31" s="16">
        <v>831</v>
      </c>
      <c r="F31" s="16"/>
      <c r="G31" s="60">
        <v>1150</v>
      </c>
      <c r="H31" s="16"/>
      <c r="I31" s="60">
        <v>1213</v>
      </c>
      <c r="J31" s="16"/>
      <c r="K31" s="16">
        <v>509</v>
      </c>
      <c r="L31" s="16"/>
      <c r="M31" s="60">
        <v>1094</v>
      </c>
    </row>
    <row r="32" spans="1:13">
      <c r="A32" s="16" t="s">
        <v>20</v>
      </c>
      <c r="B32" s="15" t="s">
        <v>744</v>
      </c>
      <c r="C32" s="16" t="s">
        <v>829</v>
      </c>
      <c r="D32" s="16"/>
      <c r="E32" s="60">
        <v>1196</v>
      </c>
      <c r="F32" s="16"/>
      <c r="G32" s="60">
        <v>1330</v>
      </c>
      <c r="H32" s="16"/>
      <c r="I32" s="60">
        <v>1508</v>
      </c>
      <c r="J32" s="16"/>
      <c r="K32" s="60">
        <v>1611</v>
      </c>
      <c r="L32" s="16"/>
      <c r="M32" s="60">
        <v>1567</v>
      </c>
    </row>
    <row r="33" spans="1:13">
      <c r="A33" s="16" t="s">
        <v>20</v>
      </c>
      <c r="B33" s="15" t="s">
        <v>744</v>
      </c>
      <c r="C33" s="16" t="s">
        <v>201</v>
      </c>
      <c r="D33" s="16"/>
      <c r="E33" s="16">
        <v>849</v>
      </c>
      <c r="F33" s="16"/>
      <c r="G33" s="16">
        <v>689</v>
      </c>
      <c r="H33" s="16"/>
      <c r="I33" s="60">
        <v>1605</v>
      </c>
      <c r="J33" s="16"/>
      <c r="K33" s="16">
        <v>870</v>
      </c>
      <c r="L33" s="16"/>
      <c r="M33" s="60">
        <v>1094</v>
      </c>
    </row>
    <row r="34" spans="1:13" ht="25.5">
      <c r="A34" s="16" t="s">
        <v>20</v>
      </c>
      <c r="B34" s="15" t="s">
        <v>745</v>
      </c>
      <c r="C34" s="16" t="s">
        <v>829</v>
      </c>
      <c r="D34" s="16"/>
      <c r="E34" s="60">
        <v>1508</v>
      </c>
      <c r="F34" s="16"/>
      <c r="G34" s="60">
        <v>4968</v>
      </c>
      <c r="H34" s="16"/>
      <c r="I34" s="60">
        <v>2924</v>
      </c>
      <c r="J34" s="16"/>
      <c r="K34" s="60">
        <v>1622</v>
      </c>
      <c r="L34" s="16"/>
      <c r="M34" s="60">
        <v>2814</v>
      </c>
    </row>
    <row r="35" spans="1:13" ht="25.5">
      <c r="A35" s="16" t="s">
        <v>20</v>
      </c>
      <c r="B35" s="15" t="s">
        <v>745</v>
      </c>
      <c r="C35" s="16" t="s">
        <v>201</v>
      </c>
      <c r="D35" s="16"/>
      <c r="E35" s="60">
        <v>3089</v>
      </c>
      <c r="F35" s="16"/>
      <c r="G35" s="60">
        <v>2071</v>
      </c>
      <c r="H35" s="16"/>
      <c r="I35" s="60">
        <v>1721</v>
      </c>
      <c r="J35" s="16"/>
      <c r="K35" s="60">
        <v>2362</v>
      </c>
      <c r="L35" s="16"/>
      <c r="M35" s="60">
        <v>1133</v>
      </c>
    </row>
    <row r="36" spans="1:13" ht="25.5">
      <c r="A36" s="16" t="s">
        <v>20</v>
      </c>
      <c r="B36" s="15" t="s">
        <v>276</v>
      </c>
      <c r="C36" s="16" t="s">
        <v>829</v>
      </c>
      <c r="D36" s="16"/>
      <c r="E36" s="60">
        <v>1243</v>
      </c>
      <c r="F36" s="16"/>
      <c r="G36" s="60">
        <v>1223</v>
      </c>
      <c r="H36" s="16"/>
      <c r="I36" s="60">
        <v>2344</v>
      </c>
      <c r="J36" s="16"/>
      <c r="K36" s="60">
        <v>2092</v>
      </c>
      <c r="L36" s="16"/>
      <c r="M36" s="60">
        <v>3351</v>
      </c>
    </row>
    <row r="37" spans="1:13" ht="25.5">
      <c r="A37" s="16" t="s">
        <v>20</v>
      </c>
      <c r="B37" s="15" t="s">
        <v>276</v>
      </c>
      <c r="C37" s="16" t="s">
        <v>201</v>
      </c>
      <c r="D37" s="16"/>
      <c r="E37" s="60">
        <v>4992</v>
      </c>
      <c r="F37" s="16"/>
      <c r="G37" s="60">
        <v>4231</v>
      </c>
      <c r="H37" s="16"/>
      <c r="I37" s="60">
        <v>7486</v>
      </c>
      <c r="J37" s="16"/>
      <c r="K37" s="60">
        <v>4633</v>
      </c>
      <c r="L37" s="16"/>
      <c r="M37" s="60">
        <v>4253</v>
      </c>
    </row>
    <row r="38" spans="1:13">
      <c r="A38" s="26"/>
      <c r="B38" s="34"/>
      <c r="C38" s="26"/>
      <c r="D38" s="26"/>
      <c r="E38" s="26"/>
      <c r="F38" s="26"/>
      <c r="G38" s="26"/>
      <c r="H38" s="26"/>
      <c r="I38" s="26"/>
      <c r="J38" s="26"/>
      <c r="K38" s="26"/>
      <c r="L38" s="26"/>
      <c r="M38" s="26"/>
    </row>
    <row r="39" spans="1:13">
      <c r="A39" s="16"/>
      <c r="B39" s="15"/>
      <c r="C39" s="16"/>
      <c r="D39" s="16"/>
      <c r="E39" s="16"/>
      <c r="F39" s="16"/>
      <c r="G39" s="16"/>
      <c r="H39" s="16"/>
      <c r="I39" s="16"/>
      <c r="J39" s="16"/>
      <c r="K39" s="16"/>
      <c r="L39" s="16"/>
      <c r="M39" s="16"/>
    </row>
    <row r="40" spans="1:13">
      <c r="A40" s="16" t="s">
        <v>14</v>
      </c>
      <c r="B40" s="15" t="s">
        <v>15</v>
      </c>
      <c r="C40" s="16"/>
      <c r="D40" s="16"/>
      <c r="E40" s="16"/>
      <c r="F40" s="16"/>
      <c r="G40" s="16"/>
      <c r="H40" s="16"/>
      <c r="I40" s="16"/>
      <c r="J40" s="16"/>
      <c r="K40" s="16"/>
      <c r="L40" s="16"/>
      <c r="M40" s="16"/>
    </row>
    <row r="41" spans="1:13">
      <c r="A41" s="16" t="s">
        <v>214</v>
      </c>
      <c r="B41" s="15" t="s">
        <v>121</v>
      </c>
      <c r="C41" s="16"/>
      <c r="D41" s="16"/>
      <c r="E41" s="16"/>
      <c r="F41" s="16"/>
      <c r="G41" s="16"/>
      <c r="H41" s="16"/>
      <c r="I41" s="16"/>
      <c r="J41" s="16"/>
      <c r="K41" s="16"/>
      <c r="L41" s="16"/>
      <c r="M41" s="16"/>
    </row>
    <row r="42" spans="1:13">
      <c r="A42" s="16" t="s">
        <v>215</v>
      </c>
      <c r="B42" s="105" t="s">
        <v>681</v>
      </c>
      <c r="C42" s="105"/>
      <c r="D42" s="105"/>
      <c r="E42" s="105"/>
      <c r="F42" s="105"/>
      <c r="G42" s="105"/>
      <c r="H42" s="105"/>
      <c r="I42" s="105"/>
      <c r="J42" s="105"/>
      <c r="K42" s="105"/>
      <c r="L42" s="105"/>
      <c r="M42" s="16"/>
    </row>
    <row r="43" spans="1:13">
      <c r="A43" s="16"/>
      <c r="B43" s="15"/>
      <c r="C43" s="16"/>
      <c r="D43" s="16"/>
      <c r="E43" s="16"/>
      <c r="F43" s="16"/>
      <c r="G43" s="16"/>
      <c r="H43" s="16"/>
      <c r="I43" s="16"/>
      <c r="J43" s="16"/>
      <c r="K43" s="16"/>
      <c r="L43" s="16"/>
      <c r="M43" s="16"/>
    </row>
    <row r="44" spans="1:13">
      <c r="A44" s="16"/>
      <c r="B44" s="15"/>
      <c r="C44" s="16"/>
      <c r="D44" s="16"/>
      <c r="E44" s="16"/>
      <c r="F44" s="16"/>
      <c r="G44" s="16"/>
      <c r="H44" s="16"/>
      <c r="I44" s="16"/>
      <c r="J44" s="16"/>
      <c r="K44" s="16"/>
      <c r="L44" s="16"/>
      <c r="M44" s="16"/>
    </row>
    <row r="45" spans="1:13">
      <c r="A45" s="28" t="str">
        <f>HYPERLINK("[UKMY 2023 PrintableV1.1 12_09_24.xlsx]Contents!A1","Return to contents page")</f>
        <v>Return to contents page</v>
      </c>
      <c r="B45" s="15"/>
      <c r="C45" s="16"/>
      <c r="D45" s="16"/>
      <c r="E45" s="16"/>
      <c r="F45" s="16"/>
      <c r="G45" s="16"/>
      <c r="H45" s="16"/>
      <c r="I45" s="16"/>
      <c r="J45" s="16"/>
      <c r="K45" s="16"/>
      <c r="L45" s="16"/>
      <c r="M45" s="16"/>
    </row>
    <row r="64" spans="5:5">
      <c r="E64" s="47"/>
    </row>
  </sheetData>
  <mergeCells count="1">
    <mergeCell ref="B42:L42"/>
  </mergeCell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1C81B-3BD4-441B-914A-698CF6029FAD}">
  <dimension ref="A1:M64"/>
  <sheetViews>
    <sheetView view="pageBreakPreview" zoomScaleNormal="100" zoomScaleSheetLayoutView="100" workbookViewId="0">
      <selection activeCell="B24" sqref="B24"/>
    </sheetView>
  </sheetViews>
  <sheetFormatPr defaultColWidth="9.1796875" defaultRowHeight="14"/>
  <cols>
    <col min="1" max="1" width="22.1796875" style="13" customWidth="1"/>
    <col min="2" max="2" width="26.26953125" style="13" bestFit="1" customWidth="1"/>
    <col min="3" max="3" width="15.26953125" style="13" bestFit="1" customWidth="1"/>
    <col min="4" max="4" width="2.1796875" style="13" bestFit="1" customWidth="1"/>
    <col min="5" max="5" width="7.26953125" style="13" bestFit="1" customWidth="1"/>
    <col min="6" max="6" width="2.1796875" style="13" bestFit="1" customWidth="1"/>
    <col min="7" max="7" width="7.26953125" style="13" bestFit="1" customWidth="1"/>
    <col min="8" max="8" width="2.1796875" style="13" bestFit="1" customWidth="1"/>
    <col min="9" max="9" width="7.26953125" style="13" bestFit="1" customWidth="1"/>
    <col min="10" max="10" width="2.1796875" style="13" bestFit="1" customWidth="1"/>
    <col min="11" max="11" width="7.26953125" style="13" bestFit="1" customWidth="1"/>
    <col min="12" max="12" width="2.1796875" style="13" bestFit="1" customWidth="1"/>
    <col min="13" max="13" width="7.26953125" style="13" bestFit="1" customWidth="1"/>
    <col min="14" max="16384" width="9.1796875" style="13"/>
  </cols>
  <sheetData>
    <row r="1" spans="1:13" ht="15.5">
      <c r="A1" s="51" t="s">
        <v>277</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223</v>
      </c>
      <c r="B3" s="13" t="s">
        <v>278</v>
      </c>
      <c r="C3" s="13" t="s">
        <v>201</v>
      </c>
      <c r="E3" s="57">
        <v>10000</v>
      </c>
      <c r="G3" s="57">
        <v>10000</v>
      </c>
      <c r="I3" s="57">
        <v>10000</v>
      </c>
      <c r="K3" s="57">
        <v>10000</v>
      </c>
      <c r="M3" s="57">
        <v>10000</v>
      </c>
    </row>
    <row r="4" spans="1:13">
      <c r="E4" s="57"/>
      <c r="G4" s="57"/>
      <c r="I4" s="57"/>
      <c r="K4" s="57"/>
      <c r="M4" s="57"/>
    </row>
    <row r="5" spans="1:13">
      <c r="A5" s="13" t="s">
        <v>19</v>
      </c>
      <c r="B5" s="13" t="s">
        <v>279</v>
      </c>
      <c r="C5" s="13" t="s">
        <v>829</v>
      </c>
      <c r="E5" s="13">
        <v>557</v>
      </c>
      <c r="G5" s="13">
        <v>611</v>
      </c>
      <c r="I5" s="13">
        <v>369</v>
      </c>
      <c r="K5" s="57">
        <v>1362</v>
      </c>
    </row>
    <row r="6" spans="1:13">
      <c r="A6" s="13" t="s">
        <v>19</v>
      </c>
      <c r="B6" s="13" t="s">
        <v>279</v>
      </c>
      <c r="C6" s="13" t="s">
        <v>201</v>
      </c>
      <c r="E6" s="13">
        <v>221</v>
      </c>
      <c r="G6" s="13">
        <v>247</v>
      </c>
      <c r="I6" s="13">
        <v>170</v>
      </c>
      <c r="K6" s="13">
        <v>128</v>
      </c>
    </row>
    <row r="7" spans="1:13">
      <c r="A7" s="13" t="s">
        <v>19</v>
      </c>
      <c r="B7" s="13" t="s">
        <v>280</v>
      </c>
      <c r="C7" s="13" t="s">
        <v>829</v>
      </c>
      <c r="E7" s="13">
        <v>316</v>
      </c>
      <c r="G7" s="13">
        <v>4</v>
      </c>
      <c r="I7" s="13">
        <v>144</v>
      </c>
      <c r="K7" s="13">
        <v>89</v>
      </c>
      <c r="M7" s="13">
        <v>11</v>
      </c>
    </row>
    <row r="8" spans="1:13">
      <c r="A8" s="13" t="s">
        <v>19</v>
      </c>
      <c r="B8" s="13" t="s">
        <v>280</v>
      </c>
      <c r="C8" s="13" t="s">
        <v>201</v>
      </c>
      <c r="E8" s="13">
        <v>122</v>
      </c>
      <c r="G8" s="13">
        <v>0</v>
      </c>
      <c r="I8" s="13">
        <v>41</v>
      </c>
      <c r="K8" s="13">
        <v>24</v>
      </c>
      <c r="M8" s="13">
        <v>1</v>
      </c>
    </row>
    <row r="9" spans="1:13">
      <c r="A9" s="13" t="s">
        <v>19</v>
      </c>
      <c r="B9" s="13" t="s">
        <v>281</v>
      </c>
      <c r="C9" s="13" t="s">
        <v>829</v>
      </c>
    </row>
    <row r="10" spans="1:13">
      <c r="A10" s="13" t="s">
        <v>19</v>
      </c>
      <c r="B10" s="13" t="s">
        <v>281</v>
      </c>
      <c r="C10" s="13" t="s">
        <v>201</v>
      </c>
    </row>
    <row r="11" spans="1:13">
      <c r="A11" s="13" t="s">
        <v>19</v>
      </c>
      <c r="B11" s="13" t="s">
        <v>282</v>
      </c>
      <c r="C11" s="13" t="s">
        <v>829</v>
      </c>
    </row>
    <row r="12" spans="1:13">
      <c r="A12" s="13" t="s">
        <v>19</v>
      </c>
      <c r="B12" s="13" t="s">
        <v>282</v>
      </c>
      <c r="C12" s="13" t="s">
        <v>201</v>
      </c>
    </row>
    <row r="14" spans="1:13">
      <c r="A14" s="13" t="s">
        <v>20</v>
      </c>
      <c r="B14" s="13" t="s">
        <v>279</v>
      </c>
      <c r="C14" s="13" t="s">
        <v>829</v>
      </c>
      <c r="E14" s="13">
        <v>155</v>
      </c>
      <c r="G14" s="13">
        <v>240</v>
      </c>
      <c r="I14" s="13">
        <v>100</v>
      </c>
      <c r="K14" s="13">
        <v>277</v>
      </c>
    </row>
    <row r="15" spans="1:13">
      <c r="A15" s="13" t="s">
        <v>20</v>
      </c>
      <c r="B15" s="13" t="s">
        <v>279</v>
      </c>
      <c r="C15" s="13" t="s">
        <v>201</v>
      </c>
      <c r="E15" s="13">
        <v>8</v>
      </c>
      <c r="G15" s="13">
        <v>66</v>
      </c>
      <c r="I15" s="13">
        <v>15</v>
      </c>
      <c r="K15" s="13">
        <v>26</v>
      </c>
    </row>
    <row r="16" spans="1:13">
      <c r="A16" s="13" t="s">
        <v>20</v>
      </c>
      <c r="B16" s="13" t="s">
        <v>280</v>
      </c>
      <c r="C16" s="13" t="s">
        <v>829</v>
      </c>
    </row>
    <row r="17" spans="1:13">
      <c r="A17" s="13" t="s">
        <v>20</v>
      </c>
      <c r="B17" s="13" t="s">
        <v>280</v>
      </c>
      <c r="C17" s="13" t="s">
        <v>201</v>
      </c>
    </row>
    <row r="18" spans="1:13">
      <c r="A18" s="13" t="s">
        <v>20</v>
      </c>
      <c r="B18" s="13" t="s">
        <v>281</v>
      </c>
      <c r="C18" s="13" t="s">
        <v>829</v>
      </c>
    </row>
    <row r="19" spans="1:13">
      <c r="A19" s="13" t="s">
        <v>20</v>
      </c>
      <c r="B19" s="13" t="s">
        <v>281</v>
      </c>
      <c r="C19" s="13" t="s">
        <v>201</v>
      </c>
    </row>
    <row r="20" spans="1:13">
      <c r="A20" s="13" t="s">
        <v>20</v>
      </c>
      <c r="B20" s="13" t="s">
        <v>282</v>
      </c>
      <c r="C20" s="13" t="s">
        <v>829</v>
      </c>
    </row>
    <row r="21" spans="1:13">
      <c r="A21" s="13" t="s">
        <v>20</v>
      </c>
      <c r="B21" s="13" t="s">
        <v>282</v>
      </c>
      <c r="C21" s="13" t="s">
        <v>201</v>
      </c>
    </row>
    <row r="22" spans="1:13">
      <c r="A22" s="35"/>
      <c r="B22" s="35"/>
      <c r="C22" s="35"/>
      <c r="D22" s="35"/>
      <c r="E22" s="35"/>
      <c r="F22" s="35"/>
      <c r="G22" s="35"/>
      <c r="H22" s="35"/>
      <c r="I22" s="35"/>
      <c r="J22" s="35"/>
      <c r="K22" s="35"/>
      <c r="L22" s="35"/>
      <c r="M22" s="35"/>
    </row>
    <row r="24" spans="1:13">
      <c r="A24" s="13" t="s">
        <v>788</v>
      </c>
    </row>
    <row r="27" spans="1:13">
      <c r="A27"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4244-FDD6-4917-A704-37FAE6FBD020}">
  <dimension ref="A1:M64"/>
  <sheetViews>
    <sheetView view="pageBreakPreview" zoomScaleNormal="100" zoomScaleSheetLayoutView="100" workbookViewId="0">
      <selection activeCell="A6" sqref="A6"/>
    </sheetView>
  </sheetViews>
  <sheetFormatPr defaultColWidth="9.1796875" defaultRowHeight="14"/>
  <cols>
    <col min="1" max="1" width="15.54296875" style="13" customWidth="1"/>
    <col min="2" max="2" width="28.1796875" style="37" customWidth="1"/>
    <col min="3" max="3" width="13.54296875" style="13" bestFit="1" customWidth="1"/>
    <col min="4" max="4" width="3.453125" style="13" bestFit="1" customWidth="1"/>
    <col min="5" max="5" width="11.26953125" style="13" bestFit="1" customWidth="1"/>
    <col min="6" max="6" width="3.453125" style="13" bestFit="1" customWidth="1"/>
    <col min="7" max="7" width="11.26953125" style="13" bestFit="1" customWidth="1"/>
    <col min="8" max="8" width="3.453125" style="13" bestFit="1" customWidth="1"/>
    <col min="9" max="9" width="11.26953125" style="13" bestFit="1" customWidth="1"/>
    <col min="10" max="10" width="3.453125" style="13" bestFit="1" customWidth="1"/>
    <col min="11" max="11" width="11.26953125" style="13" bestFit="1" customWidth="1"/>
    <col min="12" max="12" width="3.453125" style="13" bestFit="1" customWidth="1"/>
    <col min="13" max="13" width="11.26953125" style="13" bestFit="1" customWidth="1"/>
    <col min="14" max="16384" width="9.1796875" style="13"/>
  </cols>
  <sheetData>
    <row r="1" spans="1:13" ht="15.5">
      <c r="A1" s="51" t="s">
        <v>283</v>
      </c>
    </row>
    <row r="2" spans="1:13">
      <c r="A2" s="23" t="s">
        <v>670</v>
      </c>
      <c r="B2" s="30" t="s">
        <v>0</v>
      </c>
      <c r="C2" s="23" t="s">
        <v>669</v>
      </c>
      <c r="D2" s="23" t="s">
        <v>1</v>
      </c>
      <c r="E2" s="23">
        <v>2018</v>
      </c>
      <c r="F2" s="23" t="s">
        <v>1</v>
      </c>
      <c r="G2" s="23">
        <v>2019</v>
      </c>
      <c r="H2" s="23" t="s">
        <v>1</v>
      </c>
      <c r="I2" s="23">
        <v>2020</v>
      </c>
      <c r="J2" s="23" t="s">
        <v>1</v>
      </c>
      <c r="K2" s="23">
        <v>2021</v>
      </c>
      <c r="L2" s="23" t="s">
        <v>1</v>
      </c>
      <c r="M2" s="23">
        <v>2022</v>
      </c>
    </row>
    <row r="3" spans="1:13">
      <c r="A3" s="16" t="s">
        <v>38</v>
      </c>
      <c r="B3" s="15" t="s">
        <v>284</v>
      </c>
      <c r="C3" s="16" t="s">
        <v>201</v>
      </c>
      <c r="D3" s="16"/>
      <c r="E3" s="60">
        <v>7734000</v>
      </c>
      <c r="F3" s="16"/>
      <c r="G3" s="60">
        <v>7830000</v>
      </c>
      <c r="H3" s="16"/>
      <c r="I3" s="60">
        <v>6941000</v>
      </c>
      <c r="J3" s="16"/>
      <c r="K3" s="60">
        <v>7367000</v>
      </c>
      <c r="L3" s="16"/>
      <c r="M3" s="60">
        <v>7160000</v>
      </c>
    </row>
    <row r="4" spans="1:13">
      <c r="A4" s="16" t="s">
        <v>38</v>
      </c>
      <c r="B4" s="15" t="s">
        <v>285</v>
      </c>
      <c r="C4" s="16" t="s">
        <v>201</v>
      </c>
      <c r="D4" s="16"/>
      <c r="E4" s="60">
        <v>9198000</v>
      </c>
      <c r="F4" s="16"/>
      <c r="G4" s="60">
        <v>9079000</v>
      </c>
      <c r="H4" s="16"/>
      <c r="I4" s="60">
        <v>8046000</v>
      </c>
      <c r="J4" s="16"/>
      <c r="K4" s="60">
        <v>9008000</v>
      </c>
      <c r="L4" s="16"/>
      <c r="M4" s="60">
        <v>8393000</v>
      </c>
    </row>
    <row r="5" spans="1:13">
      <c r="A5" s="16" t="s">
        <v>38</v>
      </c>
      <c r="B5" s="15" t="s">
        <v>286</v>
      </c>
      <c r="C5" s="16" t="s">
        <v>201</v>
      </c>
      <c r="D5" s="16"/>
      <c r="E5" s="60">
        <v>25693000</v>
      </c>
      <c r="F5" s="16"/>
      <c r="G5" s="60">
        <v>24701000</v>
      </c>
      <c r="H5" s="16"/>
      <c r="I5" s="60">
        <v>19420000</v>
      </c>
      <c r="J5" s="16"/>
      <c r="K5" s="60">
        <v>22163000</v>
      </c>
      <c r="L5" s="16"/>
      <c r="M5" s="60">
        <v>21049443</v>
      </c>
    </row>
    <row r="6" spans="1:13" ht="7.5" customHeight="1">
      <c r="A6" s="16"/>
      <c r="B6" s="15"/>
      <c r="C6" s="16"/>
      <c r="D6" s="16"/>
      <c r="E6" s="60"/>
      <c r="F6" s="16"/>
      <c r="G6" s="60"/>
      <c r="H6" s="16"/>
      <c r="I6" s="60"/>
      <c r="J6" s="16"/>
      <c r="K6" s="60"/>
      <c r="L6" s="16"/>
      <c r="M6" s="60"/>
    </row>
    <row r="7" spans="1:13" ht="25.5">
      <c r="A7" s="15" t="s">
        <v>287</v>
      </c>
      <c r="B7" s="15" t="s">
        <v>711</v>
      </c>
      <c r="C7" s="16" t="s">
        <v>201</v>
      </c>
      <c r="D7" s="16" t="s">
        <v>205</v>
      </c>
      <c r="E7" s="60">
        <v>15188000</v>
      </c>
      <c r="F7" s="16" t="s">
        <v>205</v>
      </c>
      <c r="G7" s="60">
        <v>15218000</v>
      </c>
      <c r="H7" s="16" t="s">
        <v>205</v>
      </c>
      <c r="I7" s="60">
        <v>13222000</v>
      </c>
      <c r="J7" s="16" t="s">
        <v>205</v>
      </c>
      <c r="K7" s="60">
        <v>15629000</v>
      </c>
      <c r="L7" s="16" t="s">
        <v>205</v>
      </c>
      <c r="M7" s="60">
        <v>15284000</v>
      </c>
    </row>
    <row r="8" spans="1:13" ht="9.75" customHeight="1">
      <c r="A8" s="16"/>
      <c r="B8" s="15"/>
      <c r="C8" s="16"/>
      <c r="D8" s="16"/>
      <c r="E8" s="60"/>
      <c r="F8" s="16"/>
      <c r="G8" s="60"/>
      <c r="H8" s="16"/>
      <c r="I8" s="60"/>
      <c r="J8" s="16"/>
      <c r="K8" s="60"/>
      <c r="L8" s="16"/>
      <c r="M8" s="60"/>
    </row>
    <row r="9" spans="1:13">
      <c r="A9" s="16" t="s">
        <v>19</v>
      </c>
      <c r="B9" s="15" t="s">
        <v>288</v>
      </c>
      <c r="C9" s="16" t="s">
        <v>829</v>
      </c>
      <c r="D9" s="16"/>
      <c r="E9" s="60">
        <v>51307</v>
      </c>
      <c r="F9" s="16"/>
      <c r="G9" s="60">
        <v>37736</v>
      </c>
      <c r="H9" s="16"/>
      <c r="I9" s="60">
        <v>18617</v>
      </c>
      <c r="J9" s="16"/>
      <c r="K9" s="60">
        <v>32408</v>
      </c>
      <c r="L9" s="16"/>
      <c r="M9" s="60">
        <v>49072</v>
      </c>
    </row>
    <row r="10" spans="1:13">
      <c r="A10" s="16" t="s">
        <v>19</v>
      </c>
      <c r="B10" s="15" t="s">
        <v>288</v>
      </c>
      <c r="C10" s="16" t="s">
        <v>201</v>
      </c>
      <c r="D10" s="16"/>
      <c r="E10" s="60">
        <v>828093</v>
      </c>
      <c r="F10" s="16"/>
      <c r="G10" s="60">
        <v>543316</v>
      </c>
      <c r="H10" s="16"/>
      <c r="I10" s="60">
        <v>223547</v>
      </c>
      <c r="J10" s="16"/>
      <c r="K10" s="60">
        <v>366366</v>
      </c>
      <c r="L10" s="16"/>
      <c r="M10" s="60">
        <v>495340</v>
      </c>
    </row>
    <row r="11" spans="1:13">
      <c r="A11" s="16" t="s">
        <v>19</v>
      </c>
      <c r="B11" s="15" t="s">
        <v>289</v>
      </c>
      <c r="C11" s="16" t="s">
        <v>829</v>
      </c>
      <c r="D11" s="16"/>
      <c r="E11" s="60">
        <v>141827</v>
      </c>
      <c r="F11" s="16"/>
      <c r="G11" s="60">
        <v>172577</v>
      </c>
      <c r="H11" s="16"/>
      <c r="I11" s="60">
        <v>155385</v>
      </c>
      <c r="J11" s="16"/>
      <c r="K11" s="60">
        <v>219816</v>
      </c>
      <c r="L11" s="16"/>
      <c r="M11" s="60">
        <v>387909</v>
      </c>
    </row>
    <row r="12" spans="1:13">
      <c r="A12" s="16" t="s">
        <v>19</v>
      </c>
      <c r="B12" s="15" t="s">
        <v>289</v>
      </c>
      <c r="C12" s="16" t="s">
        <v>201</v>
      </c>
      <c r="D12" s="16"/>
      <c r="E12" s="60">
        <v>2464886</v>
      </c>
      <c r="F12" s="16"/>
      <c r="G12" s="60">
        <v>2879196</v>
      </c>
      <c r="H12" s="16"/>
      <c r="I12" s="60">
        <v>2615340</v>
      </c>
      <c r="J12" s="16"/>
      <c r="K12" s="60">
        <v>3513287</v>
      </c>
      <c r="L12" s="16"/>
      <c r="M12" s="60">
        <v>4392934</v>
      </c>
    </row>
    <row r="13" spans="1:13">
      <c r="A13" s="16" t="s">
        <v>19</v>
      </c>
      <c r="B13" s="15" t="s">
        <v>290</v>
      </c>
      <c r="C13" s="16" t="s">
        <v>829</v>
      </c>
      <c r="D13" s="16"/>
      <c r="E13" s="60">
        <v>4691</v>
      </c>
      <c r="F13" s="16"/>
      <c r="G13" s="60">
        <v>7162</v>
      </c>
      <c r="H13" s="16"/>
      <c r="I13" s="60">
        <v>9688</v>
      </c>
      <c r="J13" s="16"/>
      <c r="K13" s="60">
        <v>16555</v>
      </c>
      <c r="L13" s="16"/>
      <c r="M13" s="60">
        <v>13357</v>
      </c>
    </row>
    <row r="14" spans="1:13">
      <c r="A14" s="16" t="s">
        <v>19</v>
      </c>
      <c r="B14" s="15" t="s">
        <v>290</v>
      </c>
      <c r="C14" s="16" t="s">
        <v>201</v>
      </c>
      <c r="D14" s="16"/>
      <c r="E14" s="60">
        <v>14568</v>
      </c>
      <c r="F14" s="16"/>
      <c r="G14" s="60">
        <v>18652</v>
      </c>
      <c r="H14" s="16"/>
      <c r="I14" s="60">
        <v>38008</v>
      </c>
      <c r="J14" s="16"/>
      <c r="K14" s="60">
        <v>65431</v>
      </c>
      <c r="L14" s="16"/>
      <c r="M14" s="60">
        <v>92538</v>
      </c>
    </row>
    <row r="15" spans="1:13">
      <c r="A15" s="16" t="s">
        <v>19</v>
      </c>
      <c r="B15" s="15" t="s">
        <v>291</v>
      </c>
      <c r="C15" s="16" t="s">
        <v>829</v>
      </c>
      <c r="D15" s="16"/>
      <c r="E15" s="60">
        <v>2942</v>
      </c>
      <c r="F15" s="16"/>
      <c r="G15" s="60">
        <v>2830</v>
      </c>
      <c r="H15" s="16"/>
      <c r="I15" s="60">
        <v>3134</v>
      </c>
      <c r="J15" s="16"/>
      <c r="K15" s="60">
        <v>12850</v>
      </c>
      <c r="L15" s="16"/>
      <c r="M15" s="60">
        <v>19060</v>
      </c>
    </row>
    <row r="16" spans="1:13">
      <c r="A16" s="16" t="s">
        <v>19</v>
      </c>
      <c r="B16" s="15" t="s">
        <v>291</v>
      </c>
      <c r="C16" s="16" t="s">
        <v>201</v>
      </c>
      <c r="D16" s="16"/>
      <c r="E16" s="60">
        <v>37993</v>
      </c>
      <c r="F16" s="16"/>
      <c r="G16" s="60">
        <v>33569</v>
      </c>
      <c r="H16" s="16"/>
      <c r="I16" s="60">
        <v>44293</v>
      </c>
      <c r="J16" s="16"/>
      <c r="K16" s="60">
        <v>119082</v>
      </c>
      <c r="L16" s="16"/>
      <c r="M16" s="60">
        <v>139146</v>
      </c>
    </row>
    <row r="17" spans="1:13" ht="9.75" customHeight="1">
      <c r="A17" s="16"/>
      <c r="B17" s="15"/>
      <c r="C17" s="16"/>
      <c r="D17" s="16"/>
      <c r="E17" s="60"/>
      <c r="F17" s="16"/>
      <c r="G17" s="60"/>
      <c r="H17" s="16"/>
      <c r="I17" s="60"/>
      <c r="J17" s="16"/>
      <c r="K17" s="60"/>
      <c r="L17" s="16"/>
      <c r="M17" s="60"/>
    </row>
    <row r="18" spans="1:13">
      <c r="A18" s="16" t="s">
        <v>20</v>
      </c>
      <c r="B18" s="15" t="s">
        <v>288</v>
      </c>
      <c r="C18" s="16" t="s">
        <v>829</v>
      </c>
      <c r="D18" s="16"/>
      <c r="E18" s="16">
        <v>915</v>
      </c>
      <c r="F18" s="16"/>
      <c r="G18" s="16">
        <v>733</v>
      </c>
      <c r="H18" s="16"/>
      <c r="I18" s="16">
        <v>920</v>
      </c>
      <c r="J18" s="16"/>
      <c r="K18" s="60">
        <v>1022</v>
      </c>
      <c r="L18" s="16"/>
      <c r="M18" s="60">
        <v>2063</v>
      </c>
    </row>
    <row r="19" spans="1:13">
      <c r="A19" s="16" t="s">
        <v>20</v>
      </c>
      <c r="B19" s="15" t="s">
        <v>288</v>
      </c>
      <c r="C19" s="16" t="s">
        <v>201</v>
      </c>
      <c r="D19" s="16"/>
      <c r="E19" s="60">
        <v>12106</v>
      </c>
      <c r="F19" s="16"/>
      <c r="G19" s="60">
        <v>8746</v>
      </c>
      <c r="H19" s="16"/>
      <c r="I19" s="60">
        <v>14073</v>
      </c>
      <c r="J19" s="16"/>
      <c r="K19" s="60">
        <v>13945</v>
      </c>
      <c r="L19" s="16"/>
      <c r="M19" s="60">
        <v>21675</v>
      </c>
    </row>
    <row r="20" spans="1:13">
      <c r="A20" s="16" t="s">
        <v>20</v>
      </c>
      <c r="B20" s="15" t="s">
        <v>289</v>
      </c>
      <c r="C20" s="16" t="s">
        <v>829</v>
      </c>
      <c r="D20" s="16"/>
      <c r="E20" s="60">
        <v>17427</v>
      </c>
      <c r="F20" s="16"/>
      <c r="G20" s="60">
        <v>14879</v>
      </c>
      <c r="H20" s="16"/>
      <c r="I20" s="60">
        <v>14702</v>
      </c>
      <c r="J20" s="16"/>
      <c r="K20" s="60">
        <v>14623</v>
      </c>
      <c r="L20" s="16"/>
      <c r="M20" s="60">
        <v>10584</v>
      </c>
    </row>
    <row r="21" spans="1:13">
      <c r="A21" s="16" t="s">
        <v>20</v>
      </c>
      <c r="B21" s="15" t="s">
        <v>289</v>
      </c>
      <c r="C21" s="16" t="s">
        <v>201</v>
      </c>
      <c r="D21" s="16"/>
      <c r="E21" s="60">
        <v>178307</v>
      </c>
      <c r="F21" s="16"/>
      <c r="G21" s="60">
        <v>150056</v>
      </c>
      <c r="H21" s="16"/>
      <c r="I21" s="60">
        <v>157854</v>
      </c>
      <c r="J21" s="16"/>
      <c r="K21" s="60">
        <v>165401</v>
      </c>
      <c r="L21" s="16"/>
      <c r="M21" s="60">
        <v>79481</v>
      </c>
    </row>
    <row r="22" spans="1:13">
      <c r="A22" s="16" t="s">
        <v>20</v>
      </c>
      <c r="B22" s="15" t="s">
        <v>290</v>
      </c>
      <c r="C22" s="16" t="s">
        <v>829</v>
      </c>
      <c r="D22" s="16"/>
      <c r="E22" s="60">
        <v>34471</v>
      </c>
      <c r="F22" s="16"/>
      <c r="G22" s="60">
        <v>31639</v>
      </c>
      <c r="H22" s="16"/>
      <c r="I22" s="60">
        <v>24322</v>
      </c>
      <c r="J22" s="16"/>
      <c r="K22" s="60">
        <v>31200</v>
      </c>
      <c r="L22" s="16"/>
      <c r="M22" s="60">
        <v>27998</v>
      </c>
    </row>
    <row r="23" spans="1:13">
      <c r="A23" s="16" t="s">
        <v>20</v>
      </c>
      <c r="B23" s="15" t="s">
        <v>290</v>
      </c>
      <c r="C23" s="16" t="s">
        <v>201</v>
      </c>
      <c r="D23" s="16"/>
      <c r="E23" s="60">
        <v>72604</v>
      </c>
      <c r="F23" s="16"/>
      <c r="G23" s="60">
        <v>62589</v>
      </c>
      <c r="H23" s="16"/>
      <c r="I23" s="60">
        <v>50621</v>
      </c>
      <c r="J23" s="16"/>
      <c r="K23" s="60">
        <v>51817</v>
      </c>
      <c r="L23" s="16"/>
      <c r="M23" s="60">
        <v>54456</v>
      </c>
    </row>
    <row r="24" spans="1:13">
      <c r="A24" s="16" t="s">
        <v>20</v>
      </c>
      <c r="B24" s="15" t="s">
        <v>291</v>
      </c>
      <c r="C24" s="16" t="s">
        <v>829</v>
      </c>
      <c r="D24" s="16"/>
      <c r="E24" s="60">
        <v>1942</v>
      </c>
      <c r="F24" s="16"/>
      <c r="G24" s="60">
        <v>1652</v>
      </c>
      <c r="H24" s="16"/>
      <c r="I24" s="60">
        <v>1509</v>
      </c>
      <c r="J24" s="16"/>
      <c r="K24" s="60">
        <v>1560</v>
      </c>
      <c r="L24" s="16"/>
      <c r="M24" s="60">
        <v>5219</v>
      </c>
    </row>
    <row r="25" spans="1:13">
      <c r="A25" s="16" t="s">
        <v>20</v>
      </c>
      <c r="B25" s="15" t="s">
        <v>291</v>
      </c>
      <c r="C25" s="16" t="s">
        <v>201</v>
      </c>
      <c r="D25" s="16"/>
      <c r="E25" s="60">
        <v>3291</v>
      </c>
      <c r="F25" s="16"/>
      <c r="G25" s="60">
        <v>2136</v>
      </c>
      <c r="H25" s="16"/>
      <c r="I25" s="60">
        <v>1934</v>
      </c>
      <c r="J25" s="16"/>
      <c r="K25" s="60">
        <v>1798</v>
      </c>
      <c r="L25" s="16"/>
      <c r="M25" s="60">
        <v>28923</v>
      </c>
    </row>
    <row r="26" spans="1:13">
      <c r="A26" s="26"/>
      <c r="B26" s="34"/>
      <c r="C26" s="26"/>
      <c r="D26" s="26"/>
      <c r="E26" s="26"/>
      <c r="F26" s="26"/>
      <c r="G26" s="26"/>
      <c r="H26" s="26"/>
      <c r="I26" s="26"/>
      <c r="J26" s="26"/>
      <c r="K26" s="26"/>
      <c r="L26" s="26"/>
      <c r="M26" s="26"/>
    </row>
    <row r="27" spans="1:13">
      <c r="A27" s="16"/>
      <c r="B27" s="15"/>
      <c r="C27" s="16"/>
      <c r="D27" s="16"/>
      <c r="E27" s="16"/>
      <c r="F27" s="16"/>
      <c r="G27" s="16"/>
      <c r="H27" s="16"/>
      <c r="I27" s="16"/>
      <c r="J27" s="16"/>
      <c r="K27" s="16"/>
      <c r="L27" s="16"/>
      <c r="M27" s="16"/>
    </row>
    <row r="28" spans="1:13">
      <c r="A28" s="16" t="s">
        <v>14</v>
      </c>
      <c r="B28" s="15" t="s">
        <v>15</v>
      </c>
      <c r="C28" s="16"/>
      <c r="D28" s="16"/>
      <c r="E28" s="16"/>
      <c r="F28" s="16"/>
      <c r="G28" s="16"/>
      <c r="H28" s="16"/>
      <c r="I28" s="16"/>
      <c r="J28" s="16"/>
      <c r="K28" s="16"/>
      <c r="L28" s="16"/>
      <c r="M28" s="16"/>
    </row>
    <row r="29" spans="1:13">
      <c r="A29" s="16" t="s">
        <v>214</v>
      </c>
      <c r="B29" s="15" t="s">
        <v>292</v>
      </c>
      <c r="C29" s="16"/>
      <c r="D29" s="16"/>
      <c r="E29" s="16"/>
      <c r="F29" s="16"/>
      <c r="G29" s="16"/>
      <c r="H29" s="16"/>
      <c r="I29" s="16"/>
      <c r="J29" s="16"/>
      <c r="K29" s="16"/>
      <c r="L29" s="16"/>
      <c r="M29" s="16"/>
    </row>
    <row r="30" spans="1:13" ht="6.75" customHeight="1">
      <c r="A30" s="16"/>
      <c r="B30" s="15"/>
      <c r="C30" s="16"/>
      <c r="D30" s="16"/>
      <c r="E30" s="16"/>
      <c r="F30" s="16"/>
      <c r="G30" s="16"/>
      <c r="H30" s="16"/>
      <c r="I30" s="16"/>
      <c r="J30" s="16"/>
      <c r="K30" s="16"/>
      <c r="L30" s="16"/>
      <c r="M30" s="16"/>
    </row>
    <row r="31" spans="1:13">
      <c r="A31" s="16"/>
      <c r="B31" s="15"/>
      <c r="C31" s="16"/>
      <c r="D31" s="16"/>
      <c r="E31" s="16"/>
      <c r="F31" s="16"/>
      <c r="G31" s="16"/>
      <c r="H31" s="16"/>
      <c r="I31" s="16"/>
      <c r="J31" s="16"/>
      <c r="K31" s="16"/>
      <c r="L31" s="16"/>
      <c r="M31" s="16"/>
    </row>
    <row r="32" spans="1:13">
      <c r="A32" s="28" t="str">
        <f>HYPERLINK("[UKMY 2023 PrintableV1.1 12_09_24.xlsx]Contents!A1","Return to contents page")</f>
        <v>Return to contents page</v>
      </c>
      <c r="B32" s="15"/>
      <c r="C32" s="16"/>
      <c r="D32" s="16"/>
      <c r="E32" s="16"/>
      <c r="F32" s="16"/>
      <c r="G32" s="16"/>
      <c r="H32" s="16"/>
      <c r="I32" s="16"/>
      <c r="J32" s="16"/>
      <c r="K32" s="16"/>
      <c r="L32" s="16"/>
      <c r="M32" s="16"/>
    </row>
    <row r="64" spans="5:5">
      <c r="E64" s="47"/>
    </row>
  </sheetData>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64AAB-A370-4501-A53E-B9A6FF1211F6}">
  <dimension ref="A1:M64"/>
  <sheetViews>
    <sheetView view="pageBreakPreview" zoomScaleNormal="100" zoomScaleSheetLayoutView="100" workbookViewId="0">
      <selection activeCell="A2" sqref="A2"/>
    </sheetView>
  </sheetViews>
  <sheetFormatPr defaultColWidth="9.1796875" defaultRowHeight="14"/>
  <cols>
    <col min="1" max="1" width="21.54296875" style="13" customWidth="1"/>
    <col min="2" max="2" width="26.26953125" style="13" bestFit="1" customWidth="1"/>
    <col min="3" max="3" width="15.26953125" style="13" bestFit="1" customWidth="1"/>
    <col min="4" max="4" width="3.54296875" style="13" bestFit="1" customWidth="1"/>
    <col min="5" max="5" width="8.453125" style="13" bestFit="1" customWidth="1"/>
    <col min="6" max="6" width="3.54296875" style="13" bestFit="1" customWidth="1"/>
    <col min="7" max="7" width="8.453125" style="13" bestFit="1" customWidth="1"/>
    <col min="8" max="8" width="3.54296875" style="13" bestFit="1" customWidth="1"/>
    <col min="9" max="9" width="8.453125" style="13" bestFit="1" customWidth="1"/>
    <col min="10" max="10" width="3.54296875" style="13" bestFit="1" customWidth="1"/>
    <col min="11" max="11" width="8.453125" style="13" bestFit="1" customWidth="1"/>
    <col min="12" max="12" width="3.54296875" style="13" bestFit="1" customWidth="1"/>
    <col min="13" max="13" width="8.453125" style="13" bestFit="1" customWidth="1"/>
    <col min="14" max="16384" width="9.1796875" style="13"/>
  </cols>
  <sheetData>
    <row r="1" spans="1:13" ht="15.5">
      <c r="A1" s="51" t="s">
        <v>294</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249</v>
      </c>
      <c r="B3" s="13" t="s">
        <v>295</v>
      </c>
      <c r="C3" s="13" t="s">
        <v>201</v>
      </c>
      <c r="D3" s="13" t="s">
        <v>221</v>
      </c>
      <c r="E3" s="57">
        <v>897000</v>
      </c>
      <c r="F3" s="13" t="s">
        <v>221</v>
      </c>
      <c r="G3" s="57">
        <v>644000</v>
      </c>
      <c r="H3" s="13" t="s">
        <v>221</v>
      </c>
      <c r="I3" s="57">
        <v>572000</v>
      </c>
      <c r="J3" s="13" t="s">
        <v>221</v>
      </c>
      <c r="K3" s="57">
        <v>735000</v>
      </c>
      <c r="L3" s="13" t="s">
        <v>221</v>
      </c>
      <c r="M3" s="57">
        <v>788000</v>
      </c>
    </row>
    <row r="4" spans="1:13">
      <c r="E4" s="57"/>
      <c r="G4" s="57"/>
      <c r="I4" s="57"/>
      <c r="K4" s="57"/>
      <c r="M4" s="57"/>
    </row>
    <row r="5" spans="1:13">
      <c r="A5" s="13" t="s">
        <v>19</v>
      </c>
      <c r="B5" s="13" t="s">
        <v>295</v>
      </c>
      <c r="C5" s="13" t="s">
        <v>829</v>
      </c>
      <c r="D5" s="13" t="s">
        <v>212</v>
      </c>
      <c r="E5" s="57">
        <v>17465</v>
      </c>
      <c r="F5" s="13" t="s">
        <v>212</v>
      </c>
      <c r="G5" s="57">
        <v>15718</v>
      </c>
      <c r="H5" s="13" t="s">
        <v>212</v>
      </c>
      <c r="I5" s="57">
        <v>13580</v>
      </c>
      <c r="J5" s="13" t="s">
        <v>212</v>
      </c>
      <c r="K5" s="57">
        <v>15610</v>
      </c>
      <c r="L5" s="13" t="s">
        <v>212</v>
      </c>
      <c r="M5" s="57">
        <v>16007</v>
      </c>
    </row>
    <row r="6" spans="1:13">
      <c r="A6" s="13" t="s">
        <v>19</v>
      </c>
      <c r="B6" s="13" t="s">
        <v>295</v>
      </c>
      <c r="C6" s="13" t="s">
        <v>201</v>
      </c>
      <c r="D6" s="13" t="s">
        <v>212</v>
      </c>
      <c r="E6" s="57">
        <v>86805</v>
      </c>
      <c r="F6" s="13" t="s">
        <v>212</v>
      </c>
      <c r="G6" s="57">
        <v>62837</v>
      </c>
      <c r="H6" s="13" t="s">
        <v>212</v>
      </c>
      <c r="I6" s="57">
        <v>60174</v>
      </c>
      <c r="J6" s="13" t="s">
        <v>212</v>
      </c>
      <c r="K6" s="57">
        <v>69424</v>
      </c>
      <c r="L6" s="13" t="s">
        <v>212</v>
      </c>
      <c r="M6" s="57">
        <v>59215</v>
      </c>
    </row>
    <row r="7" spans="1:13">
      <c r="E7" s="57"/>
      <c r="G7" s="57"/>
      <c r="I7" s="57"/>
      <c r="K7" s="57"/>
      <c r="M7" s="57"/>
    </row>
    <row r="8" spans="1:13">
      <c r="A8" s="13" t="s">
        <v>20</v>
      </c>
      <c r="B8" s="13" t="s">
        <v>295</v>
      </c>
      <c r="C8" s="13" t="s">
        <v>829</v>
      </c>
      <c r="D8" s="13" t="s">
        <v>212</v>
      </c>
      <c r="E8" s="57">
        <v>124057</v>
      </c>
      <c r="F8" s="13" t="s">
        <v>212</v>
      </c>
      <c r="G8" s="57">
        <v>110406</v>
      </c>
      <c r="H8" s="13" t="s">
        <v>212</v>
      </c>
      <c r="I8" s="57">
        <v>100015</v>
      </c>
      <c r="J8" s="13" t="s">
        <v>212</v>
      </c>
      <c r="K8" s="57">
        <v>126864</v>
      </c>
      <c r="L8" s="13" t="s">
        <v>212</v>
      </c>
      <c r="M8" s="57">
        <v>145652</v>
      </c>
    </row>
    <row r="9" spans="1:13">
      <c r="A9" s="13" t="s">
        <v>20</v>
      </c>
      <c r="B9" s="13" t="s">
        <v>295</v>
      </c>
      <c r="C9" s="13" t="s">
        <v>201</v>
      </c>
      <c r="D9" s="13" t="s">
        <v>212</v>
      </c>
      <c r="E9" s="57">
        <v>897498</v>
      </c>
      <c r="F9" s="13" t="s">
        <v>212</v>
      </c>
      <c r="G9" s="57">
        <v>643940</v>
      </c>
      <c r="H9" s="13" t="s">
        <v>212</v>
      </c>
      <c r="I9" s="57">
        <v>571715</v>
      </c>
      <c r="J9" s="13" t="s">
        <v>212</v>
      </c>
      <c r="K9" s="57">
        <v>662540</v>
      </c>
      <c r="L9" s="13" t="s">
        <v>212</v>
      </c>
      <c r="M9" s="57">
        <v>638365</v>
      </c>
    </row>
    <row r="10" spans="1:13">
      <c r="A10" s="35"/>
      <c r="B10" s="35"/>
      <c r="C10" s="35"/>
      <c r="D10" s="35"/>
      <c r="E10" s="35"/>
      <c r="F10" s="35"/>
      <c r="G10" s="35"/>
      <c r="H10" s="35"/>
      <c r="I10" s="35"/>
      <c r="J10" s="35"/>
      <c r="K10" s="35"/>
      <c r="L10" s="35"/>
      <c r="M10" s="35"/>
    </row>
    <row r="12" spans="1:13">
      <c r="A12" s="13" t="s">
        <v>14</v>
      </c>
      <c r="B12" s="13" t="s">
        <v>15</v>
      </c>
    </row>
    <row r="13" spans="1:13">
      <c r="A13" s="13" t="s">
        <v>216</v>
      </c>
      <c r="B13" s="13" t="s">
        <v>296</v>
      </c>
    </row>
    <row r="14" spans="1:13">
      <c r="A14" s="13" t="s">
        <v>221</v>
      </c>
      <c r="B14" s="13" t="s">
        <v>297</v>
      </c>
    </row>
    <row r="17" spans="1:1">
      <c r="A17"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4AC9E-6FEE-47B6-8A31-2A6324002D55}">
  <dimension ref="A1:M64"/>
  <sheetViews>
    <sheetView view="pageBreakPreview" zoomScaleNormal="100" zoomScaleSheetLayoutView="100" workbookViewId="0">
      <selection activeCell="B34" sqref="B34"/>
    </sheetView>
  </sheetViews>
  <sheetFormatPr defaultColWidth="9.1796875" defaultRowHeight="14"/>
  <cols>
    <col min="1" max="1" width="16.453125" style="13" customWidth="1"/>
    <col min="2" max="2" width="43" style="13" bestFit="1" customWidth="1"/>
    <col min="3" max="3" width="14.54296875" style="13" bestFit="1" customWidth="1"/>
    <col min="4" max="4" width="3.453125" style="13" bestFit="1" customWidth="1"/>
    <col min="5" max="5" width="7.453125" style="13" customWidth="1"/>
    <col min="6" max="6" width="3.453125" style="13" bestFit="1" customWidth="1"/>
    <col min="7" max="7" width="7.7265625" style="13" customWidth="1"/>
    <col min="8" max="8" width="3.453125" style="13" bestFit="1" customWidth="1"/>
    <col min="9" max="9" width="7.453125" style="13" customWidth="1"/>
    <col min="10" max="10" width="3.453125" style="13" bestFit="1" customWidth="1"/>
    <col min="11" max="11" width="7.7265625" style="13" customWidth="1"/>
    <col min="12" max="12" width="3.453125" style="13" bestFit="1" customWidth="1"/>
    <col min="13" max="13" width="9" style="13" customWidth="1"/>
    <col min="14" max="16384" width="9.1796875" style="13"/>
  </cols>
  <sheetData>
    <row r="1" spans="1:13" ht="15.5">
      <c r="A1" s="51" t="s">
        <v>299</v>
      </c>
    </row>
    <row r="2" spans="1:13">
      <c r="A2" s="23" t="s">
        <v>670</v>
      </c>
      <c r="B2" s="23" t="s">
        <v>0</v>
      </c>
      <c r="C2" s="23" t="s">
        <v>669</v>
      </c>
      <c r="D2" s="23" t="s">
        <v>1</v>
      </c>
      <c r="E2" s="23">
        <v>2018</v>
      </c>
      <c r="F2" s="23" t="s">
        <v>1</v>
      </c>
      <c r="G2" s="23">
        <v>2019</v>
      </c>
      <c r="H2" s="23" t="s">
        <v>1</v>
      </c>
      <c r="I2" s="23">
        <v>2020</v>
      </c>
      <c r="J2" s="23" t="s">
        <v>1</v>
      </c>
      <c r="K2" s="23">
        <v>2021</v>
      </c>
      <c r="L2" s="23" t="s">
        <v>1</v>
      </c>
      <c r="M2" s="23">
        <v>2022</v>
      </c>
    </row>
    <row r="3" spans="1:13" ht="25.5">
      <c r="A3" s="15" t="s">
        <v>300</v>
      </c>
      <c r="B3" s="16" t="s">
        <v>301</v>
      </c>
      <c r="C3" s="16" t="s">
        <v>201</v>
      </c>
      <c r="D3" s="16" t="s">
        <v>205</v>
      </c>
      <c r="E3" s="60">
        <v>38800</v>
      </c>
      <c r="F3" s="16" t="s">
        <v>205</v>
      </c>
      <c r="G3" s="60">
        <v>31700</v>
      </c>
      <c r="H3" s="16" t="s">
        <v>205</v>
      </c>
      <c r="I3" s="60">
        <v>24700</v>
      </c>
      <c r="J3" s="16" t="s">
        <v>205</v>
      </c>
      <c r="K3" s="60">
        <v>29600</v>
      </c>
      <c r="L3" s="16" t="s">
        <v>205</v>
      </c>
      <c r="M3" s="60">
        <v>30600</v>
      </c>
    </row>
    <row r="4" spans="1:13" ht="9" customHeight="1">
      <c r="A4" s="16"/>
      <c r="B4" s="16"/>
      <c r="C4" s="16"/>
      <c r="D4" s="16"/>
      <c r="E4" s="60"/>
      <c r="F4" s="16"/>
      <c r="G4" s="60"/>
      <c r="H4" s="16"/>
      <c r="I4" s="60"/>
      <c r="J4" s="16"/>
      <c r="K4" s="60"/>
      <c r="L4" s="16"/>
      <c r="M4" s="60"/>
    </row>
    <row r="5" spans="1:13">
      <c r="A5" s="16" t="s">
        <v>19</v>
      </c>
      <c r="B5" s="16" t="s">
        <v>302</v>
      </c>
      <c r="C5" s="16" t="s">
        <v>829</v>
      </c>
      <c r="D5" s="16"/>
      <c r="E5" s="60">
        <v>2903</v>
      </c>
      <c r="F5" s="16"/>
      <c r="G5" s="60">
        <v>2721</v>
      </c>
      <c r="H5" s="16"/>
      <c r="I5" s="60">
        <v>1645</v>
      </c>
      <c r="J5" s="16"/>
      <c r="K5" s="60">
        <v>1619</v>
      </c>
      <c r="L5" s="16"/>
      <c r="M5" s="60">
        <v>2656</v>
      </c>
    </row>
    <row r="6" spans="1:13">
      <c r="A6" s="16" t="s">
        <v>19</v>
      </c>
      <c r="B6" s="16" t="s">
        <v>302</v>
      </c>
      <c r="C6" s="16" t="s">
        <v>201</v>
      </c>
      <c r="D6" s="16"/>
      <c r="E6" s="60">
        <v>7149</v>
      </c>
      <c r="F6" s="16"/>
      <c r="G6" s="60">
        <v>7529</v>
      </c>
      <c r="H6" s="16"/>
      <c r="I6" s="60">
        <v>6096</v>
      </c>
      <c r="J6" s="16"/>
      <c r="K6" s="60">
        <v>5529</v>
      </c>
      <c r="L6" s="16"/>
      <c r="M6" s="60">
        <v>6640</v>
      </c>
    </row>
    <row r="7" spans="1:13">
      <c r="A7" s="16" t="s">
        <v>19</v>
      </c>
      <c r="B7" s="16" t="s">
        <v>303</v>
      </c>
      <c r="C7" s="16" t="s">
        <v>829</v>
      </c>
      <c r="D7" s="16"/>
      <c r="E7" s="60">
        <v>14204</v>
      </c>
      <c r="F7" s="16"/>
      <c r="G7" s="60">
        <v>19915</v>
      </c>
      <c r="H7" s="16"/>
      <c r="I7" s="60">
        <v>9053</v>
      </c>
      <c r="J7" s="16"/>
      <c r="K7" s="60">
        <v>9712</v>
      </c>
      <c r="L7" s="16"/>
      <c r="M7" s="60">
        <v>26286</v>
      </c>
    </row>
    <row r="8" spans="1:13">
      <c r="A8" s="16" t="s">
        <v>19</v>
      </c>
      <c r="B8" s="16" t="s">
        <v>303</v>
      </c>
      <c r="C8" s="16" t="s">
        <v>201</v>
      </c>
      <c r="D8" s="16"/>
      <c r="E8" s="60">
        <v>5744</v>
      </c>
      <c r="F8" s="16"/>
      <c r="G8" s="60">
        <v>8643</v>
      </c>
      <c r="H8" s="16"/>
      <c r="I8" s="60">
        <v>4823</v>
      </c>
      <c r="J8" s="16"/>
      <c r="K8" s="60">
        <v>5007</v>
      </c>
      <c r="L8" s="16"/>
      <c r="M8" s="60">
        <v>4830</v>
      </c>
    </row>
    <row r="9" spans="1:13">
      <c r="A9" s="16" t="s">
        <v>19</v>
      </c>
      <c r="B9" s="16" t="s">
        <v>680</v>
      </c>
      <c r="C9" s="16" t="s">
        <v>829</v>
      </c>
      <c r="D9" s="16"/>
      <c r="E9" s="16">
        <v>4</v>
      </c>
      <c r="F9" s="16"/>
      <c r="G9" s="16">
        <v>157</v>
      </c>
      <c r="H9" s="16"/>
      <c r="I9" s="16">
        <v>255</v>
      </c>
      <c r="J9" s="16"/>
      <c r="K9" s="16">
        <v>117</v>
      </c>
      <c r="L9" s="16"/>
      <c r="M9" s="60">
        <v>1263</v>
      </c>
    </row>
    <row r="10" spans="1:13">
      <c r="A10" s="16" t="s">
        <v>19</v>
      </c>
      <c r="B10" s="16" t="s">
        <v>680</v>
      </c>
      <c r="C10" s="16" t="s">
        <v>201</v>
      </c>
      <c r="D10" s="16"/>
      <c r="E10" s="16">
        <v>23</v>
      </c>
      <c r="F10" s="16"/>
      <c r="G10" s="16">
        <v>118</v>
      </c>
      <c r="H10" s="16"/>
      <c r="I10" s="16">
        <v>252</v>
      </c>
      <c r="J10" s="16"/>
      <c r="K10" s="16">
        <v>94</v>
      </c>
      <c r="L10" s="16"/>
      <c r="M10" s="16">
        <v>822</v>
      </c>
    </row>
    <row r="11" spans="1:13">
      <c r="A11" s="16" t="s">
        <v>19</v>
      </c>
      <c r="B11" s="16" t="s">
        <v>304</v>
      </c>
      <c r="C11" s="16" t="s">
        <v>829</v>
      </c>
      <c r="D11" s="16"/>
      <c r="E11" s="60">
        <v>51251</v>
      </c>
      <c r="F11" s="16"/>
      <c r="G11" s="60">
        <v>33417</v>
      </c>
      <c r="H11" s="16"/>
      <c r="I11" s="60">
        <v>22692</v>
      </c>
      <c r="J11" s="16"/>
      <c r="K11" s="60">
        <v>39577</v>
      </c>
      <c r="L11" s="16"/>
      <c r="M11" s="60">
        <v>66792</v>
      </c>
    </row>
    <row r="12" spans="1:13">
      <c r="A12" s="16" t="s">
        <v>19</v>
      </c>
      <c r="B12" s="16" t="s">
        <v>304</v>
      </c>
      <c r="C12" s="16" t="s">
        <v>201</v>
      </c>
      <c r="D12" s="16"/>
      <c r="E12" s="60">
        <v>48375</v>
      </c>
      <c r="F12" s="16"/>
      <c r="G12" s="60">
        <v>35633</v>
      </c>
      <c r="H12" s="16"/>
      <c r="I12" s="60">
        <v>30252</v>
      </c>
      <c r="J12" s="16"/>
      <c r="K12" s="60">
        <v>39393</v>
      </c>
      <c r="L12" s="16"/>
      <c r="M12" s="60">
        <v>41683</v>
      </c>
    </row>
    <row r="13" spans="1:13">
      <c r="A13" s="16" t="s">
        <v>19</v>
      </c>
      <c r="B13" s="16" t="s">
        <v>305</v>
      </c>
      <c r="C13" s="16" t="s">
        <v>829</v>
      </c>
      <c r="D13" s="16"/>
      <c r="E13" s="16">
        <v>12</v>
      </c>
      <c r="F13" s="16"/>
      <c r="G13" s="16">
        <v>34</v>
      </c>
      <c r="H13" s="16"/>
      <c r="I13" s="16">
        <v>16</v>
      </c>
      <c r="J13" s="16"/>
      <c r="K13" s="16">
        <v>32</v>
      </c>
      <c r="L13" s="16"/>
      <c r="M13" s="16">
        <v>112</v>
      </c>
    </row>
    <row r="14" spans="1:13">
      <c r="A14" s="16" t="s">
        <v>19</v>
      </c>
      <c r="B14" s="16" t="s">
        <v>305</v>
      </c>
      <c r="C14" s="16" t="s">
        <v>201</v>
      </c>
      <c r="D14" s="16"/>
      <c r="E14" s="16">
        <v>1</v>
      </c>
      <c r="F14" s="16"/>
      <c r="G14" s="16">
        <v>18</v>
      </c>
      <c r="H14" s="16"/>
      <c r="I14" s="16">
        <v>6</v>
      </c>
      <c r="J14" s="16"/>
      <c r="K14" s="16">
        <v>19</v>
      </c>
      <c r="L14" s="16"/>
      <c r="M14" s="16">
        <v>63</v>
      </c>
    </row>
    <row r="15" spans="1:13">
      <c r="A15" s="16" t="s">
        <v>19</v>
      </c>
      <c r="B15" s="16" t="s">
        <v>712</v>
      </c>
      <c r="C15" s="16" t="s">
        <v>829</v>
      </c>
      <c r="D15" s="16"/>
      <c r="E15" s="60">
        <v>48462</v>
      </c>
      <c r="F15" s="16"/>
      <c r="G15" s="60">
        <v>40210</v>
      </c>
      <c r="H15" s="16"/>
      <c r="I15" s="60">
        <v>24012</v>
      </c>
      <c r="J15" s="16"/>
      <c r="K15" s="60">
        <v>27493</v>
      </c>
      <c r="L15" s="16"/>
      <c r="M15" s="60">
        <v>74847</v>
      </c>
    </row>
    <row r="16" spans="1:13">
      <c r="A16" s="16" t="s">
        <v>19</v>
      </c>
      <c r="B16" s="16" t="s">
        <v>712</v>
      </c>
      <c r="C16" s="16" t="s">
        <v>201</v>
      </c>
      <c r="D16" s="16"/>
      <c r="E16" s="60">
        <v>15570</v>
      </c>
      <c r="F16" s="16"/>
      <c r="G16" s="60">
        <v>15458</v>
      </c>
      <c r="H16" s="16"/>
      <c r="I16" s="60">
        <v>12010</v>
      </c>
      <c r="J16" s="16"/>
      <c r="K16" s="60">
        <v>12318</v>
      </c>
      <c r="L16" s="16"/>
      <c r="M16" s="60">
        <v>16636</v>
      </c>
    </row>
    <row r="17" spans="1:13">
      <c r="A17" s="16" t="s">
        <v>19</v>
      </c>
      <c r="B17" s="16" t="s">
        <v>306</v>
      </c>
      <c r="C17" s="16" t="s">
        <v>829</v>
      </c>
      <c r="D17" s="16"/>
      <c r="E17" s="60">
        <v>14759</v>
      </c>
      <c r="F17" s="16"/>
      <c r="G17" s="60">
        <v>10851</v>
      </c>
      <c r="H17" s="16"/>
      <c r="I17" s="60">
        <v>6300</v>
      </c>
      <c r="J17" s="16"/>
      <c r="K17" s="60">
        <v>52865</v>
      </c>
      <c r="L17" s="16"/>
      <c r="M17" s="60">
        <v>17899</v>
      </c>
    </row>
    <row r="18" spans="1:13">
      <c r="A18" s="16" t="s">
        <v>19</v>
      </c>
      <c r="B18" s="16" t="s">
        <v>306</v>
      </c>
      <c r="C18" s="16" t="s">
        <v>201</v>
      </c>
      <c r="D18" s="16"/>
      <c r="E18" s="60">
        <v>1688</v>
      </c>
      <c r="F18" s="16"/>
      <c r="G18" s="60">
        <v>1399</v>
      </c>
      <c r="H18" s="16"/>
      <c r="I18" s="16">
        <v>913</v>
      </c>
      <c r="J18" s="16"/>
      <c r="K18" s="60">
        <v>1428</v>
      </c>
      <c r="L18" s="16"/>
      <c r="M18" s="60">
        <v>1579</v>
      </c>
    </row>
    <row r="19" spans="1:13" ht="9.75" customHeight="1">
      <c r="A19" s="16"/>
      <c r="B19" s="16"/>
      <c r="C19" s="16"/>
      <c r="D19" s="16"/>
      <c r="E19" s="60"/>
      <c r="F19" s="16"/>
      <c r="G19" s="60"/>
      <c r="H19" s="16"/>
      <c r="I19" s="16"/>
      <c r="J19" s="16"/>
      <c r="K19" s="60"/>
      <c r="L19" s="16"/>
      <c r="M19" s="60"/>
    </row>
    <row r="20" spans="1:13">
      <c r="A20" s="16" t="s">
        <v>20</v>
      </c>
      <c r="B20" s="16" t="s">
        <v>302</v>
      </c>
      <c r="C20" s="16" t="s">
        <v>829</v>
      </c>
      <c r="D20" s="16"/>
      <c r="E20" s="16">
        <v>107</v>
      </c>
      <c r="F20" s="16"/>
      <c r="G20" s="16">
        <v>403</v>
      </c>
      <c r="H20" s="16"/>
      <c r="I20" s="16">
        <v>94</v>
      </c>
      <c r="J20" s="16"/>
      <c r="K20" s="16">
        <v>31</v>
      </c>
      <c r="L20" s="16"/>
      <c r="M20" s="16">
        <v>67</v>
      </c>
    </row>
    <row r="21" spans="1:13">
      <c r="A21" s="16" t="s">
        <v>20</v>
      </c>
      <c r="B21" s="16" t="s">
        <v>302</v>
      </c>
      <c r="C21" s="16" t="s">
        <v>201</v>
      </c>
      <c r="D21" s="16"/>
      <c r="E21" s="16">
        <v>86</v>
      </c>
      <c r="F21" s="16"/>
      <c r="G21" s="16">
        <v>864</v>
      </c>
      <c r="H21" s="16"/>
      <c r="I21" s="16">
        <v>189</v>
      </c>
      <c r="J21" s="16"/>
      <c r="K21" s="16">
        <v>7</v>
      </c>
      <c r="L21" s="16"/>
      <c r="M21" s="16">
        <v>55</v>
      </c>
    </row>
    <row r="22" spans="1:13">
      <c r="A22" s="16" t="s">
        <v>20</v>
      </c>
      <c r="B22" s="16" t="s">
        <v>303</v>
      </c>
      <c r="C22" s="16" t="s">
        <v>829</v>
      </c>
      <c r="D22" s="16"/>
      <c r="E22" s="60">
        <v>2668</v>
      </c>
      <c r="F22" s="16"/>
      <c r="G22" s="60">
        <v>2886</v>
      </c>
      <c r="H22" s="16"/>
      <c r="I22" s="60">
        <v>2541</v>
      </c>
      <c r="J22" s="16"/>
      <c r="K22" s="16">
        <v>441</v>
      </c>
      <c r="L22" s="16"/>
      <c r="M22" s="60">
        <v>5278</v>
      </c>
    </row>
    <row r="23" spans="1:13">
      <c r="A23" s="16" t="s">
        <v>20</v>
      </c>
      <c r="B23" s="16" t="s">
        <v>303</v>
      </c>
      <c r="C23" s="16" t="s">
        <v>201</v>
      </c>
      <c r="D23" s="16"/>
      <c r="E23" s="16">
        <v>506</v>
      </c>
      <c r="F23" s="16"/>
      <c r="G23" s="16">
        <v>487</v>
      </c>
      <c r="H23" s="16"/>
      <c r="I23" s="16">
        <v>603</v>
      </c>
      <c r="J23" s="16"/>
      <c r="K23" s="60">
        <v>1464</v>
      </c>
      <c r="L23" s="16"/>
      <c r="M23" s="60">
        <v>1640</v>
      </c>
    </row>
    <row r="24" spans="1:13">
      <c r="A24" s="16" t="s">
        <v>20</v>
      </c>
      <c r="B24" s="16" t="s">
        <v>680</v>
      </c>
      <c r="C24" s="16" t="s">
        <v>829</v>
      </c>
      <c r="D24" s="16"/>
      <c r="E24" s="16">
        <v>192</v>
      </c>
      <c r="F24" s="16"/>
      <c r="G24" s="16">
        <v>374</v>
      </c>
      <c r="H24" s="16"/>
      <c r="I24" s="16">
        <v>215</v>
      </c>
      <c r="J24" s="16"/>
      <c r="K24" s="16">
        <v>12</v>
      </c>
      <c r="L24" s="16"/>
      <c r="M24" s="16">
        <v>466</v>
      </c>
    </row>
    <row r="25" spans="1:13">
      <c r="A25" s="16" t="s">
        <v>20</v>
      </c>
      <c r="B25" s="16" t="s">
        <v>680</v>
      </c>
      <c r="C25" s="16" t="s">
        <v>201</v>
      </c>
      <c r="D25" s="16"/>
      <c r="E25" s="16">
        <v>191</v>
      </c>
      <c r="F25" s="16"/>
      <c r="G25" s="16">
        <v>271</v>
      </c>
      <c r="H25" s="16"/>
      <c r="I25" s="16">
        <v>269</v>
      </c>
      <c r="J25" s="16"/>
      <c r="K25" s="16">
        <v>10</v>
      </c>
      <c r="L25" s="16"/>
      <c r="M25" s="16">
        <v>787</v>
      </c>
    </row>
    <row r="26" spans="1:13">
      <c r="A26" s="16" t="s">
        <v>20</v>
      </c>
      <c r="B26" s="16" t="s">
        <v>304</v>
      </c>
      <c r="C26" s="16" t="s">
        <v>829</v>
      </c>
      <c r="D26" s="16"/>
      <c r="E26" s="60">
        <v>4464</v>
      </c>
      <c r="F26" s="16"/>
      <c r="G26" s="60">
        <v>2984</v>
      </c>
      <c r="H26" s="16"/>
      <c r="I26" s="60">
        <v>3231</v>
      </c>
      <c r="J26" s="16"/>
      <c r="K26" s="60">
        <v>5066</v>
      </c>
      <c r="L26" s="16"/>
      <c r="M26" s="60">
        <v>3803</v>
      </c>
    </row>
    <row r="27" spans="1:13">
      <c r="A27" s="16" t="s">
        <v>20</v>
      </c>
      <c r="B27" s="16" t="s">
        <v>304</v>
      </c>
      <c r="C27" s="16" t="s">
        <v>201</v>
      </c>
      <c r="D27" s="16"/>
      <c r="E27" s="60">
        <v>2428</v>
      </c>
      <c r="F27" s="16"/>
      <c r="G27" s="60">
        <v>1860</v>
      </c>
      <c r="H27" s="16"/>
      <c r="I27" s="60">
        <v>2310</v>
      </c>
      <c r="J27" s="16"/>
      <c r="K27" s="60">
        <v>3517</v>
      </c>
      <c r="L27" s="16"/>
      <c r="M27" s="60">
        <v>1290</v>
      </c>
    </row>
    <row r="28" spans="1:13">
      <c r="A28" s="16" t="s">
        <v>20</v>
      </c>
      <c r="B28" s="16" t="s">
        <v>305</v>
      </c>
      <c r="C28" s="16" t="s">
        <v>829</v>
      </c>
      <c r="D28" s="16"/>
      <c r="E28" s="16">
        <v>242</v>
      </c>
      <c r="F28" s="16"/>
      <c r="G28" s="16">
        <v>162</v>
      </c>
      <c r="H28" s="16"/>
      <c r="I28" s="16">
        <v>188</v>
      </c>
      <c r="J28" s="16"/>
      <c r="K28" s="16">
        <v>301</v>
      </c>
      <c r="L28" s="16"/>
      <c r="M28" s="16">
        <v>418</v>
      </c>
    </row>
    <row r="29" spans="1:13">
      <c r="A29" s="16" t="s">
        <v>20</v>
      </c>
      <c r="B29" s="16" t="s">
        <v>305</v>
      </c>
      <c r="C29" s="16" t="s">
        <v>201</v>
      </c>
      <c r="D29" s="16"/>
      <c r="E29" s="16">
        <v>89</v>
      </c>
      <c r="F29" s="16"/>
      <c r="G29" s="16">
        <v>43</v>
      </c>
      <c r="H29" s="16"/>
      <c r="I29" s="16">
        <v>60</v>
      </c>
      <c r="J29" s="16"/>
      <c r="K29" s="16">
        <v>109</v>
      </c>
      <c r="L29" s="16"/>
      <c r="M29" s="16">
        <v>88</v>
      </c>
    </row>
    <row r="30" spans="1:13">
      <c r="A30" s="16" t="s">
        <v>20</v>
      </c>
      <c r="B30" s="16" t="s">
        <v>712</v>
      </c>
      <c r="C30" s="16" t="s">
        <v>829</v>
      </c>
      <c r="D30" s="16"/>
      <c r="E30" s="16">
        <v>884</v>
      </c>
      <c r="F30" s="16"/>
      <c r="G30" s="16">
        <v>843</v>
      </c>
      <c r="H30" s="16"/>
      <c r="I30" s="16">
        <v>832</v>
      </c>
      <c r="J30" s="16"/>
      <c r="K30" s="16">
        <v>889</v>
      </c>
      <c r="L30" s="16"/>
      <c r="M30" s="60">
        <v>1187</v>
      </c>
    </row>
    <row r="31" spans="1:13">
      <c r="A31" s="16" t="s">
        <v>20</v>
      </c>
      <c r="B31" s="16" t="s">
        <v>712</v>
      </c>
      <c r="C31" s="16" t="s">
        <v>201</v>
      </c>
      <c r="D31" s="16"/>
      <c r="E31" s="16">
        <v>276</v>
      </c>
      <c r="F31" s="16"/>
      <c r="G31" s="16">
        <v>193</v>
      </c>
      <c r="H31" s="16"/>
      <c r="I31" s="16">
        <v>334</v>
      </c>
      <c r="J31" s="16"/>
      <c r="K31" s="16">
        <v>251</v>
      </c>
      <c r="L31" s="16"/>
      <c r="M31" s="16">
        <v>221</v>
      </c>
    </row>
    <row r="32" spans="1:13">
      <c r="A32" s="16" t="s">
        <v>20</v>
      </c>
      <c r="B32" s="16" t="s">
        <v>306</v>
      </c>
      <c r="C32" s="16" t="s">
        <v>829</v>
      </c>
      <c r="D32" s="16"/>
      <c r="E32" s="60">
        <v>81265</v>
      </c>
      <c r="F32" s="16"/>
      <c r="G32" s="60">
        <v>77481</v>
      </c>
      <c r="H32" s="16"/>
      <c r="I32" s="60">
        <v>44715</v>
      </c>
      <c r="J32" s="16"/>
      <c r="K32" s="60">
        <v>51693</v>
      </c>
      <c r="L32" s="16"/>
      <c r="M32" s="60">
        <v>102258</v>
      </c>
    </row>
    <row r="33" spans="1:13">
      <c r="A33" s="16" t="s">
        <v>20</v>
      </c>
      <c r="B33" s="16" t="s">
        <v>306</v>
      </c>
      <c r="C33" s="16" t="s">
        <v>201</v>
      </c>
      <c r="D33" s="16"/>
      <c r="E33" s="60">
        <v>7384</v>
      </c>
      <c r="F33" s="16"/>
      <c r="G33" s="60">
        <v>8439</v>
      </c>
      <c r="H33" s="16"/>
      <c r="I33" s="60">
        <v>5820</v>
      </c>
      <c r="J33" s="16"/>
      <c r="K33" s="60">
        <v>5617</v>
      </c>
      <c r="L33" s="16"/>
      <c r="M33" s="60">
        <v>7270</v>
      </c>
    </row>
    <row r="34" spans="1:13">
      <c r="A34" s="26"/>
      <c r="B34" s="26"/>
      <c r="C34" s="26"/>
      <c r="D34" s="26"/>
      <c r="E34" s="26"/>
      <c r="F34" s="26"/>
      <c r="G34" s="26"/>
      <c r="H34" s="26"/>
      <c r="I34" s="26"/>
      <c r="J34" s="26"/>
      <c r="K34" s="26"/>
      <c r="L34" s="26"/>
      <c r="M34" s="26"/>
    </row>
    <row r="35" spans="1:13">
      <c r="A35" s="16"/>
      <c r="B35" s="16"/>
      <c r="C35" s="16"/>
      <c r="D35" s="16"/>
      <c r="E35" s="16"/>
      <c r="F35" s="16"/>
      <c r="G35" s="16"/>
      <c r="H35" s="16"/>
      <c r="I35" s="16"/>
      <c r="J35" s="16"/>
      <c r="K35" s="16"/>
      <c r="L35" s="16"/>
      <c r="M35" s="16"/>
    </row>
    <row r="36" spans="1:13">
      <c r="A36" s="16" t="s">
        <v>14</v>
      </c>
      <c r="B36" s="16" t="s">
        <v>15</v>
      </c>
      <c r="C36" s="16"/>
      <c r="D36" s="16"/>
      <c r="E36" s="16"/>
      <c r="F36" s="16"/>
      <c r="G36" s="16"/>
      <c r="H36" s="16"/>
      <c r="I36" s="16"/>
      <c r="J36" s="16"/>
      <c r="K36" s="16"/>
      <c r="L36" s="16"/>
      <c r="M36" s="16"/>
    </row>
    <row r="37" spans="1:13">
      <c r="A37" s="16" t="s">
        <v>214</v>
      </c>
      <c r="B37" s="16" t="s">
        <v>334</v>
      </c>
      <c r="C37" s="16"/>
      <c r="D37" s="16"/>
      <c r="E37" s="16"/>
      <c r="F37" s="16"/>
      <c r="G37" s="16"/>
      <c r="H37" s="16"/>
      <c r="I37" s="16"/>
      <c r="J37" s="16"/>
      <c r="K37" s="16"/>
      <c r="L37" s="16"/>
      <c r="M37" s="16"/>
    </row>
    <row r="38" spans="1:13">
      <c r="A38" s="16"/>
      <c r="B38" s="16"/>
      <c r="C38" s="16"/>
      <c r="D38" s="16"/>
      <c r="E38" s="16"/>
      <c r="F38" s="16"/>
      <c r="G38" s="16"/>
      <c r="H38" s="16"/>
      <c r="I38" s="16"/>
      <c r="J38" s="16"/>
      <c r="K38" s="16"/>
      <c r="L38" s="16"/>
      <c r="M38" s="16"/>
    </row>
    <row r="39" spans="1:13">
      <c r="A39" s="16"/>
      <c r="B39" s="16"/>
      <c r="C39" s="16"/>
      <c r="D39" s="16"/>
      <c r="E39" s="16"/>
      <c r="F39" s="16"/>
      <c r="G39" s="16"/>
      <c r="H39" s="16"/>
      <c r="I39" s="16"/>
      <c r="J39" s="16"/>
      <c r="K39" s="16"/>
      <c r="L39" s="16"/>
      <c r="M39" s="16"/>
    </row>
    <row r="40" spans="1:13">
      <c r="A40" s="28" t="str">
        <f>HYPERLINK("[UKMY 2023 PrintableV1.1 12_09_24.xlsx]Contents!A1","Return to contents page")</f>
        <v>Return to contents page</v>
      </c>
      <c r="B40" s="16"/>
      <c r="C40" s="16"/>
      <c r="D40" s="16"/>
      <c r="E40" s="16"/>
      <c r="F40" s="16"/>
      <c r="G40" s="16"/>
      <c r="H40" s="16"/>
      <c r="I40" s="16"/>
      <c r="J40" s="16"/>
      <c r="K40" s="16"/>
      <c r="L40" s="16"/>
      <c r="M40" s="16"/>
    </row>
    <row r="64" spans="5:5">
      <c r="E64" s="47"/>
    </row>
  </sheetData>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64593-EAAF-4F71-ABB4-2FA834BE1637}">
  <dimension ref="A1:M64"/>
  <sheetViews>
    <sheetView view="pageBreakPreview" zoomScaleNormal="100" zoomScaleSheetLayoutView="100" workbookViewId="0">
      <selection activeCell="B8" sqref="B8"/>
    </sheetView>
  </sheetViews>
  <sheetFormatPr defaultColWidth="9.1796875" defaultRowHeight="14"/>
  <cols>
    <col min="1" max="1" width="22" style="13" customWidth="1"/>
    <col min="2" max="2" width="26.26953125" style="13" bestFit="1" customWidth="1"/>
    <col min="3" max="3" width="15.26953125" style="13" bestFit="1" customWidth="1"/>
    <col min="4" max="4" width="2.1796875" style="13" bestFit="1" customWidth="1"/>
    <col min="5" max="5" width="10.179687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6384" width="9.1796875" style="13"/>
  </cols>
  <sheetData>
    <row r="1" spans="1:13" ht="15.5">
      <c r="A1" s="51" t="s">
        <v>307</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713</v>
      </c>
      <c r="C3" s="13" t="s">
        <v>201</v>
      </c>
      <c r="E3" s="57">
        <v>4606000</v>
      </c>
      <c r="G3" s="57">
        <v>4529000</v>
      </c>
      <c r="I3" s="57">
        <v>2952000</v>
      </c>
      <c r="K3" s="57">
        <v>4008000</v>
      </c>
      <c r="M3" s="57">
        <v>4004000</v>
      </c>
    </row>
    <row r="4" spans="1:13">
      <c r="E4" s="57"/>
      <c r="G4" s="57"/>
      <c r="I4" s="57"/>
      <c r="K4" s="57"/>
      <c r="M4" s="57"/>
    </row>
    <row r="5" spans="1:13">
      <c r="A5" s="13" t="s">
        <v>19</v>
      </c>
      <c r="B5" s="13" t="s">
        <v>308</v>
      </c>
      <c r="C5" s="13" t="s">
        <v>829</v>
      </c>
      <c r="E5" s="57">
        <v>24504</v>
      </c>
      <c r="G5" s="57">
        <v>18995</v>
      </c>
      <c r="I5" s="57">
        <v>11956</v>
      </c>
      <c r="K5" s="57">
        <v>15806</v>
      </c>
      <c r="M5" s="57">
        <v>26229</v>
      </c>
    </row>
    <row r="6" spans="1:13">
      <c r="A6" s="13" t="s">
        <v>19</v>
      </c>
      <c r="B6" s="13" t="s">
        <v>308</v>
      </c>
      <c r="C6" s="13" t="s">
        <v>201</v>
      </c>
      <c r="E6" s="57">
        <v>144947</v>
      </c>
      <c r="G6" s="57">
        <v>116176</v>
      </c>
      <c r="I6" s="57">
        <v>97857</v>
      </c>
      <c r="K6" s="57">
        <v>87985</v>
      </c>
      <c r="M6" s="57">
        <v>122035</v>
      </c>
    </row>
    <row r="7" spans="1:13">
      <c r="E7" s="57"/>
      <c r="G7" s="57"/>
      <c r="I7" s="57"/>
      <c r="K7" s="57"/>
      <c r="M7" s="57"/>
    </row>
    <row r="8" spans="1:13">
      <c r="A8" s="13" t="s">
        <v>20</v>
      </c>
      <c r="B8" s="13" t="s">
        <v>308</v>
      </c>
      <c r="C8" s="13" t="s">
        <v>829</v>
      </c>
      <c r="E8" s="57">
        <v>10378</v>
      </c>
      <c r="G8" s="57">
        <v>9641</v>
      </c>
      <c r="I8" s="57">
        <v>9450</v>
      </c>
      <c r="K8" s="57">
        <v>14153</v>
      </c>
      <c r="M8" s="57">
        <v>11586</v>
      </c>
    </row>
    <row r="9" spans="1:13">
      <c r="A9" s="13" t="s">
        <v>20</v>
      </c>
      <c r="B9" s="13" t="s">
        <v>308</v>
      </c>
      <c r="C9" s="13" t="s">
        <v>201</v>
      </c>
      <c r="E9" s="57">
        <v>84939</v>
      </c>
      <c r="G9" s="57">
        <v>75148</v>
      </c>
      <c r="I9" s="57">
        <v>63703</v>
      </c>
      <c r="K9" s="57">
        <v>94609</v>
      </c>
      <c r="M9" s="57">
        <v>92261</v>
      </c>
    </row>
    <row r="10" spans="1:13">
      <c r="A10" s="35"/>
      <c r="B10" s="35"/>
      <c r="C10" s="35"/>
      <c r="D10" s="35"/>
      <c r="E10" s="35"/>
      <c r="F10" s="35"/>
      <c r="G10" s="35"/>
      <c r="H10" s="35"/>
      <c r="I10" s="35"/>
      <c r="J10" s="35"/>
      <c r="K10" s="35"/>
      <c r="L10" s="35"/>
      <c r="M10" s="35"/>
    </row>
    <row r="13" spans="1:13">
      <c r="A13"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9C6E4-897A-46B7-9B07-7CBC6FD8386B}">
  <dimension ref="A1:M64"/>
  <sheetViews>
    <sheetView view="pageBreakPreview" zoomScaleNormal="100" zoomScaleSheetLayoutView="100" workbookViewId="0">
      <selection activeCell="C5" sqref="C5"/>
    </sheetView>
  </sheetViews>
  <sheetFormatPr defaultColWidth="9.1796875" defaultRowHeight="14"/>
  <cols>
    <col min="1" max="1" width="8.26953125" style="63" customWidth="1"/>
    <col min="2" max="2" width="3" style="13" bestFit="1" customWidth="1"/>
    <col min="3" max="3" width="21" style="13" bestFit="1" customWidth="1"/>
    <col min="4" max="4" width="3" style="13" bestFit="1" customWidth="1"/>
    <col min="5" max="5" width="16.7265625" style="13" bestFit="1" customWidth="1"/>
    <col min="6" max="6" width="3" style="13" bestFit="1" customWidth="1"/>
    <col min="7" max="7" width="20.1796875" style="13" bestFit="1" customWidth="1"/>
    <col min="8" max="8" width="3" style="13" bestFit="1" customWidth="1"/>
    <col min="9" max="9" width="17.81640625" style="13" bestFit="1" customWidth="1"/>
    <col min="10" max="10" width="3" style="13" bestFit="1" customWidth="1"/>
    <col min="11" max="11" width="10.453125" style="13" bestFit="1" customWidth="1"/>
    <col min="12" max="12" width="3" style="13" bestFit="1" customWidth="1"/>
    <col min="13" max="13" width="16.7265625" style="13" bestFit="1" customWidth="1"/>
    <col min="14" max="16384" width="9.1796875" style="13"/>
  </cols>
  <sheetData>
    <row r="1" spans="1:13" ht="15.5">
      <c r="A1" s="61" t="s">
        <v>833</v>
      </c>
      <c r="M1" s="41" t="s">
        <v>834</v>
      </c>
    </row>
    <row r="2" spans="1:13" s="37" customFormat="1" ht="28">
      <c r="A2" s="62" t="s">
        <v>309</v>
      </c>
      <c r="B2" s="58" t="s">
        <v>1</v>
      </c>
      <c r="C2" s="58" t="s">
        <v>310</v>
      </c>
      <c r="D2" s="58" t="s">
        <v>1</v>
      </c>
      <c r="E2" s="58" t="s">
        <v>311</v>
      </c>
      <c r="F2" s="58" t="s">
        <v>1</v>
      </c>
      <c r="G2" s="58" t="s">
        <v>312</v>
      </c>
      <c r="H2" s="58" t="s">
        <v>1</v>
      </c>
      <c r="I2" s="58" t="s">
        <v>313</v>
      </c>
      <c r="J2" s="58" t="s">
        <v>1</v>
      </c>
      <c r="K2" s="58" t="s">
        <v>314</v>
      </c>
      <c r="L2" s="58" t="s">
        <v>1</v>
      </c>
      <c r="M2" s="58" t="s">
        <v>160</v>
      </c>
    </row>
    <row r="3" spans="1:13">
      <c r="A3" s="63">
        <v>2022</v>
      </c>
      <c r="C3" s="13">
        <v>4004</v>
      </c>
      <c r="M3" s="13">
        <v>4004</v>
      </c>
    </row>
    <row r="4" spans="1:13">
      <c r="A4" s="63">
        <v>2021</v>
      </c>
      <c r="C4" s="13">
        <v>4008</v>
      </c>
      <c r="M4" s="13">
        <v>4008</v>
      </c>
    </row>
    <row r="5" spans="1:13">
      <c r="A5" s="63">
        <v>2020</v>
      </c>
      <c r="C5" s="13">
        <v>2952</v>
      </c>
      <c r="M5" s="13">
        <v>2952</v>
      </c>
    </row>
    <row r="6" spans="1:13">
      <c r="A6" s="63">
        <v>2019</v>
      </c>
      <c r="C6" s="13">
        <v>4529</v>
      </c>
      <c r="M6" s="13">
        <v>4529</v>
      </c>
    </row>
    <row r="7" spans="1:13">
      <c r="A7" s="63">
        <v>2018</v>
      </c>
      <c r="C7" s="13">
        <v>4341</v>
      </c>
      <c r="E7" s="13">
        <v>149</v>
      </c>
      <c r="I7" s="13">
        <v>116</v>
      </c>
      <c r="M7" s="13">
        <v>4606</v>
      </c>
    </row>
    <row r="8" spans="1:13">
      <c r="A8" s="64"/>
      <c r="B8" s="35"/>
      <c r="C8" s="35"/>
      <c r="D8" s="35"/>
      <c r="E8" s="35"/>
      <c r="F8" s="35"/>
      <c r="G8" s="35"/>
      <c r="H8" s="35"/>
      <c r="I8" s="35"/>
      <c r="J8" s="35"/>
      <c r="K8" s="35"/>
      <c r="L8" s="35"/>
      <c r="M8" s="35"/>
    </row>
    <row r="10" spans="1:13" ht="32.25" customHeight="1">
      <c r="A10" s="103" t="s">
        <v>315</v>
      </c>
      <c r="B10" s="103"/>
      <c r="C10" s="103"/>
      <c r="D10" s="103"/>
      <c r="E10" s="103"/>
      <c r="F10" s="103"/>
      <c r="G10" s="103"/>
      <c r="H10" s="103"/>
      <c r="I10" s="103"/>
      <c r="J10" s="103"/>
      <c r="K10" s="103"/>
      <c r="L10" s="103"/>
    </row>
    <row r="11" spans="1:13">
      <c r="A11" s="63" t="s">
        <v>316</v>
      </c>
    </row>
    <row r="14" spans="1:13">
      <c r="A14" s="65" t="str">
        <f>HYPERLINK("[UKMY 2023 PrintableV1.1 12_09_24.xlsx]Contents!A1","Return to contents page")</f>
        <v>Return to contents page</v>
      </c>
    </row>
    <row r="64" spans="5:5">
      <c r="E64" s="47"/>
    </row>
  </sheetData>
  <mergeCells count="1">
    <mergeCell ref="A10:L10"/>
  </mergeCell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301DB-F773-4F7E-9B7C-BDCD83F91D7D}">
  <dimension ref="A1:M64"/>
  <sheetViews>
    <sheetView view="pageBreakPreview" zoomScaleNormal="100" zoomScaleSheetLayoutView="100" workbookViewId="0">
      <selection activeCell="I32" sqref="I32"/>
    </sheetView>
  </sheetViews>
  <sheetFormatPr defaultColWidth="21.453125" defaultRowHeight="14"/>
  <cols>
    <col min="1" max="1" width="16.1796875" style="13" customWidth="1"/>
    <col min="2" max="2" width="37.1796875" style="13" customWidth="1"/>
    <col min="3" max="3" width="15.26953125" style="13" bestFit="1" customWidth="1"/>
    <col min="4" max="4" width="2.1796875" style="13" bestFit="1" customWidth="1"/>
    <col min="5" max="5" width="11.2695312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6384" width="21.453125" style="13"/>
  </cols>
  <sheetData>
    <row r="1" spans="1:13" ht="15.5">
      <c r="A1" s="20" t="s">
        <v>317</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318</v>
      </c>
      <c r="C3" s="13" t="s">
        <v>201</v>
      </c>
      <c r="E3" s="57">
        <v>399000</v>
      </c>
      <c r="G3" s="57">
        <v>510000</v>
      </c>
      <c r="I3" s="57">
        <v>345000</v>
      </c>
      <c r="K3" s="57">
        <v>266000</v>
      </c>
      <c r="M3" s="57">
        <v>157000</v>
      </c>
    </row>
    <row r="4" spans="1:13">
      <c r="A4" s="13" t="s">
        <v>38</v>
      </c>
      <c r="B4" s="13" t="s">
        <v>319</v>
      </c>
      <c r="C4" s="13" t="s">
        <v>201</v>
      </c>
      <c r="E4" s="57">
        <v>2383000</v>
      </c>
      <c r="G4" s="57">
        <v>2082000</v>
      </c>
      <c r="I4" s="57">
        <v>1328000</v>
      </c>
      <c r="K4" s="57">
        <v>788000</v>
      </c>
      <c r="M4" s="57">
        <v>494000</v>
      </c>
    </row>
    <row r="5" spans="1:13" ht="8.25" customHeight="1">
      <c r="E5" s="57"/>
      <c r="G5" s="57"/>
      <c r="I5" s="57"/>
      <c r="K5" s="57"/>
      <c r="M5" s="57"/>
    </row>
    <row r="6" spans="1:13">
      <c r="A6" s="13" t="s">
        <v>223</v>
      </c>
      <c r="B6" s="13" t="s">
        <v>320</v>
      </c>
      <c r="C6" s="13" t="s">
        <v>201</v>
      </c>
      <c r="E6" s="57">
        <v>12008170</v>
      </c>
      <c r="G6" s="57">
        <v>7972620</v>
      </c>
      <c r="I6" s="57">
        <v>6996500</v>
      </c>
      <c r="K6" s="57">
        <v>7047920</v>
      </c>
      <c r="M6" s="57">
        <v>6066710</v>
      </c>
    </row>
    <row r="7" spans="1:13" ht="6" customHeight="1">
      <c r="E7" s="57"/>
      <c r="G7" s="57"/>
      <c r="I7" s="57"/>
      <c r="K7" s="57"/>
      <c r="M7" s="57"/>
    </row>
    <row r="8" spans="1:13">
      <c r="A8" s="13" t="s">
        <v>19</v>
      </c>
      <c r="B8" s="13" t="s">
        <v>318</v>
      </c>
      <c r="C8" s="13" t="s">
        <v>829</v>
      </c>
      <c r="E8" s="57">
        <v>18620</v>
      </c>
      <c r="G8" s="57">
        <v>11612</v>
      </c>
      <c r="I8" s="57">
        <v>7124</v>
      </c>
      <c r="K8" s="57">
        <v>7098</v>
      </c>
      <c r="M8" s="57">
        <v>107830</v>
      </c>
    </row>
    <row r="9" spans="1:13">
      <c r="A9" s="13" t="s">
        <v>19</v>
      </c>
      <c r="B9" s="13" t="s">
        <v>318</v>
      </c>
      <c r="C9" s="13" t="s">
        <v>201</v>
      </c>
      <c r="E9" s="57">
        <v>153587</v>
      </c>
      <c r="G9" s="57">
        <v>73287</v>
      </c>
      <c r="I9" s="57">
        <v>52152</v>
      </c>
      <c r="K9" s="57">
        <v>54226</v>
      </c>
      <c r="M9" s="57">
        <v>497452</v>
      </c>
    </row>
    <row r="10" spans="1:13">
      <c r="A10" s="13" t="s">
        <v>19</v>
      </c>
      <c r="B10" s="13" t="s">
        <v>321</v>
      </c>
      <c r="C10" s="13" t="s">
        <v>829</v>
      </c>
      <c r="E10" s="57">
        <v>918883</v>
      </c>
      <c r="G10" s="57">
        <v>566732</v>
      </c>
      <c r="I10" s="57">
        <v>311230</v>
      </c>
      <c r="K10" s="57">
        <v>463744</v>
      </c>
      <c r="M10" s="57">
        <v>1465172</v>
      </c>
    </row>
    <row r="11" spans="1:13">
      <c r="A11" s="13" t="s">
        <v>19</v>
      </c>
      <c r="B11" s="13" t="s">
        <v>321</v>
      </c>
      <c r="C11" s="13" t="s">
        <v>201</v>
      </c>
      <c r="E11" s="57">
        <v>9158720</v>
      </c>
      <c r="G11" s="57">
        <v>5366022</v>
      </c>
      <c r="I11" s="57">
        <v>3635890</v>
      </c>
      <c r="K11" s="57">
        <v>4499086</v>
      </c>
      <c r="M11" s="57">
        <v>6129763</v>
      </c>
    </row>
    <row r="12" spans="1:13">
      <c r="A12" s="13" t="s">
        <v>19</v>
      </c>
      <c r="B12" s="13" t="s">
        <v>320</v>
      </c>
      <c r="C12" s="13" t="s">
        <v>829</v>
      </c>
      <c r="E12" s="57">
        <v>937503</v>
      </c>
      <c r="G12" s="57">
        <v>578344</v>
      </c>
      <c r="I12" s="57">
        <v>318354</v>
      </c>
      <c r="K12" s="57">
        <v>470842</v>
      </c>
      <c r="M12" s="57">
        <v>1573002</v>
      </c>
    </row>
    <row r="13" spans="1:13">
      <c r="A13" s="13" t="s">
        <v>19</v>
      </c>
      <c r="B13" s="13" t="s">
        <v>320</v>
      </c>
      <c r="C13" s="13" t="s">
        <v>201</v>
      </c>
      <c r="E13" s="57">
        <v>9312307</v>
      </c>
      <c r="G13" s="57">
        <v>5439309</v>
      </c>
      <c r="I13" s="57">
        <v>3688042</v>
      </c>
      <c r="K13" s="57">
        <v>4553312</v>
      </c>
      <c r="M13" s="57">
        <v>6627215</v>
      </c>
    </row>
    <row r="14" spans="1:13">
      <c r="A14" s="13" t="s">
        <v>19</v>
      </c>
      <c r="B14" s="13" t="s">
        <v>322</v>
      </c>
      <c r="C14" s="13" t="s">
        <v>829</v>
      </c>
      <c r="E14" s="57">
        <v>4714</v>
      </c>
      <c r="G14" s="57">
        <v>2352</v>
      </c>
      <c r="I14" s="57">
        <v>1494</v>
      </c>
      <c r="K14" s="57">
        <v>1103</v>
      </c>
      <c r="M14" s="57">
        <v>10992</v>
      </c>
    </row>
    <row r="15" spans="1:13">
      <c r="A15" s="13" t="s">
        <v>19</v>
      </c>
      <c r="B15" s="13" t="s">
        <v>322</v>
      </c>
      <c r="C15" s="13" t="s">
        <v>201</v>
      </c>
      <c r="E15" s="57">
        <v>32513</v>
      </c>
      <c r="G15" s="57">
        <v>16716</v>
      </c>
      <c r="I15" s="57">
        <v>11302</v>
      </c>
      <c r="K15" s="57">
        <v>5623</v>
      </c>
      <c r="M15" s="57">
        <v>24413</v>
      </c>
    </row>
    <row r="16" spans="1:13">
      <c r="A16" s="13" t="s">
        <v>19</v>
      </c>
      <c r="B16" s="13" t="s">
        <v>323</v>
      </c>
      <c r="C16" s="13" t="s">
        <v>829</v>
      </c>
      <c r="E16" s="13">
        <v>410</v>
      </c>
      <c r="G16" s="13">
        <v>385</v>
      </c>
      <c r="I16" s="13">
        <v>209</v>
      </c>
      <c r="K16" s="13">
        <v>374</v>
      </c>
      <c r="M16" s="57">
        <v>1314</v>
      </c>
    </row>
    <row r="17" spans="1:13">
      <c r="A17" s="13" t="s">
        <v>19</v>
      </c>
      <c r="B17" s="13" t="s">
        <v>323</v>
      </c>
      <c r="C17" s="13" t="s">
        <v>201</v>
      </c>
      <c r="E17" s="57">
        <v>1640</v>
      </c>
      <c r="G17" s="57">
        <v>1028</v>
      </c>
      <c r="I17" s="13">
        <v>353</v>
      </c>
      <c r="K17" s="57">
        <v>1107</v>
      </c>
      <c r="M17" s="57">
        <v>5520</v>
      </c>
    </row>
    <row r="18" spans="1:13" ht="7.5" customHeight="1">
      <c r="E18" s="57"/>
      <c r="G18" s="57"/>
      <c r="K18" s="57"/>
      <c r="M18" s="57"/>
    </row>
    <row r="19" spans="1:13">
      <c r="A19" s="13" t="s">
        <v>20</v>
      </c>
      <c r="B19" s="13" t="s">
        <v>318</v>
      </c>
      <c r="C19" s="13" t="s">
        <v>829</v>
      </c>
      <c r="E19" s="57">
        <v>15975</v>
      </c>
      <c r="F19" s="13" t="s">
        <v>221</v>
      </c>
      <c r="G19" s="57">
        <v>17910</v>
      </c>
      <c r="I19" s="57">
        <v>18362</v>
      </c>
      <c r="J19" s="13" t="s">
        <v>221</v>
      </c>
      <c r="K19" s="57">
        <v>18169</v>
      </c>
      <c r="M19" s="57">
        <v>22564</v>
      </c>
    </row>
    <row r="20" spans="1:13">
      <c r="A20" s="13" t="s">
        <v>20</v>
      </c>
      <c r="B20" s="13" t="s">
        <v>318</v>
      </c>
      <c r="C20" s="13" t="s">
        <v>201</v>
      </c>
      <c r="E20" s="57">
        <v>105285</v>
      </c>
      <c r="F20" s="13" t="s">
        <v>221</v>
      </c>
      <c r="G20" s="57">
        <v>114000</v>
      </c>
      <c r="I20" s="57">
        <v>131609</v>
      </c>
      <c r="J20" s="13" t="s">
        <v>221</v>
      </c>
      <c r="K20" s="57">
        <v>140000</v>
      </c>
      <c r="M20" s="57">
        <v>99295</v>
      </c>
    </row>
    <row r="21" spans="1:13">
      <c r="A21" s="13" t="s">
        <v>20</v>
      </c>
      <c r="B21" s="13" t="s">
        <v>321</v>
      </c>
      <c r="C21" s="13" t="s">
        <v>829</v>
      </c>
      <c r="E21" s="57">
        <v>65915</v>
      </c>
      <c r="G21" s="57">
        <v>85728</v>
      </c>
      <c r="I21" s="57">
        <v>109523</v>
      </c>
      <c r="K21" s="57">
        <v>100664</v>
      </c>
      <c r="M21" s="57">
        <v>149612</v>
      </c>
    </row>
    <row r="22" spans="1:13">
      <c r="A22" s="13" t="s">
        <v>20</v>
      </c>
      <c r="B22" s="13" t="s">
        <v>321</v>
      </c>
      <c r="C22" s="13" t="s">
        <v>201</v>
      </c>
      <c r="E22" s="57">
        <v>495995</v>
      </c>
      <c r="G22" s="57">
        <v>771846</v>
      </c>
      <c r="I22" s="57">
        <v>1593851</v>
      </c>
      <c r="K22" s="57">
        <v>1010955</v>
      </c>
      <c r="M22" s="57">
        <v>504037</v>
      </c>
    </row>
    <row r="23" spans="1:13">
      <c r="A23" s="13" t="s">
        <v>20</v>
      </c>
      <c r="B23" s="13" t="s">
        <v>320</v>
      </c>
      <c r="C23" s="13" t="s">
        <v>829</v>
      </c>
      <c r="E23" s="57">
        <v>81890</v>
      </c>
      <c r="G23" s="57">
        <v>103638</v>
      </c>
      <c r="I23" s="57">
        <v>127885</v>
      </c>
      <c r="K23" s="57">
        <v>118833</v>
      </c>
      <c r="M23" s="57">
        <v>172176</v>
      </c>
    </row>
    <row r="24" spans="1:13">
      <c r="A24" s="13" t="s">
        <v>20</v>
      </c>
      <c r="B24" s="13" t="s">
        <v>320</v>
      </c>
      <c r="C24" s="13" t="s">
        <v>201</v>
      </c>
      <c r="E24" s="57">
        <v>601280</v>
      </c>
      <c r="G24" s="57">
        <v>886146</v>
      </c>
      <c r="I24" s="57">
        <v>1725460</v>
      </c>
      <c r="K24" s="57">
        <v>1150955</v>
      </c>
      <c r="M24" s="57">
        <v>603332</v>
      </c>
    </row>
    <row r="25" spans="1:13">
      <c r="A25" s="13" t="s">
        <v>20</v>
      </c>
      <c r="B25" s="13" t="s">
        <v>322</v>
      </c>
      <c r="C25" s="13" t="s">
        <v>829</v>
      </c>
      <c r="E25" s="57">
        <v>6378</v>
      </c>
      <c r="G25" s="57">
        <v>5503</v>
      </c>
      <c r="I25" s="57">
        <v>9802</v>
      </c>
      <c r="K25" s="57">
        <v>3254</v>
      </c>
      <c r="M25" s="57">
        <v>8959</v>
      </c>
    </row>
    <row r="26" spans="1:13">
      <c r="A26" s="13" t="s">
        <v>20</v>
      </c>
      <c r="B26" s="13" t="s">
        <v>322</v>
      </c>
      <c r="C26" s="13" t="s">
        <v>201</v>
      </c>
      <c r="E26" s="57">
        <v>35282</v>
      </c>
      <c r="G26" s="57">
        <v>30140</v>
      </c>
      <c r="I26" s="57">
        <v>135490</v>
      </c>
      <c r="K26" s="57">
        <v>15434</v>
      </c>
      <c r="M26" s="57">
        <v>31105</v>
      </c>
    </row>
    <row r="27" spans="1:13">
      <c r="A27" s="13" t="s">
        <v>20</v>
      </c>
      <c r="B27" s="13" t="s">
        <v>323</v>
      </c>
      <c r="C27" s="13" t="s">
        <v>829</v>
      </c>
      <c r="E27" s="13">
        <v>72</v>
      </c>
      <c r="G27" s="13">
        <v>151</v>
      </c>
      <c r="I27" s="13">
        <v>230</v>
      </c>
      <c r="K27" s="13">
        <v>70</v>
      </c>
      <c r="M27" s="13">
        <v>140</v>
      </c>
    </row>
    <row r="28" spans="1:13">
      <c r="A28" s="13" t="s">
        <v>20</v>
      </c>
      <c r="B28" s="13" t="s">
        <v>323</v>
      </c>
      <c r="C28" s="13" t="s">
        <v>201</v>
      </c>
      <c r="E28" s="13">
        <v>366</v>
      </c>
      <c r="G28" s="13">
        <v>595</v>
      </c>
      <c r="I28" s="13">
        <v>467</v>
      </c>
      <c r="K28" s="13">
        <v>263</v>
      </c>
      <c r="M28" s="13">
        <v>288</v>
      </c>
    </row>
    <row r="29" spans="1:13" ht="7.5" customHeight="1">
      <c r="A29" s="35"/>
      <c r="B29" s="35"/>
      <c r="C29" s="35"/>
      <c r="D29" s="35"/>
      <c r="E29" s="35"/>
      <c r="F29" s="35"/>
      <c r="G29" s="35"/>
      <c r="H29" s="35"/>
      <c r="I29" s="35"/>
      <c r="J29" s="35"/>
      <c r="K29" s="35"/>
      <c r="L29" s="35"/>
      <c r="M29" s="35"/>
    </row>
    <row r="30" spans="1:13" ht="6.75" customHeight="1"/>
    <row r="31" spans="1:13">
      <c r="A31" s="13" t="s">
        <v>14</v>
      </c>
      <c r="B31" s="13" t="s">
        <v>15</v>
      </c>
    </row>
    <row r="32" spans="1:13">
      <c r="A32" s="13" t="s">
        <v>221</v>
      </c>
      <c r="B32" s="13" t="s">
        <v>297</v>
      </c>
    </row>
    <row r="33" spans="1:1" ht="8.25" customHeight="1"/>
    <row r="34" spans="1:1" ht="7.5" customHeight="1"/>
    <row r="35" spans="1:1">
      <c r="A35"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BFAB-8DDF-43ED-B1ED-A182AB304011}">
  <dimension ref="A1:M64"/>
  <sheetViews>
    <sheetView view="pageBreakPreview" zoomScaleNormal="100" zoomScaleSheetLayoutView="100" workbookViewId="0">
      <selection activeCell="B29" sqref="B29"/>
    </sheetView>
  </sheetViews>
  <sheetFormatPr defaultColWidth="9.1796875" defaultRowHeight="14"/>
  <cols>
    <col min="1" max="1" width="14.54296875" style="13" customWidth="1"/>
    <col min="2" max="2" width="29.453125" style="13" customWidth="1"/>
    <col min="3" max="3" width="21.1796875" style="13" bestFit="1" customWidth="1"/>
    <col min="4" max="4" width="5.453125" style="13" bestFit="1" customWidth="1"/>
    <col min="5" max="5" width="8.453125" style="13" bestFit="1" customWidth="1"/>
    <col min="6" max="6" width="5.453125" style="13" bestFit="1" customWidth="1"/>
    <col min="7" max="7" width="7.26953125" style="13" bestFit="1" customWidth="1"/>
    <col min="8" max="8" width="5.453125" style="13" bestFit="1" customWidth="1"/>
    <col min="9" max="9" width="7.26953125" style="13" bestFit="1" customWidth="1"/>
    <col min="10" max="10" width="5.453125" style="13" bestFit="1" customWidth="1"/>
    <col min="11" max="11" width="7.26953125" style="13" bestFit="1" customWidth="1"/>
    <col min="12" max="12" width="5.453125" style="13" bestFit="1" customWidth="1"/>
    <col min="13" max="13" width="8.453125" style="13" bestFit="1" customWidth="1"/>
    <col min="14" max="16384" width="9.1796875" style="13"/>
  </cols>
  <sheetData>
    <row r="1" spans="1:13" ht="15.5">
      <c r="A1" s="51" t="s">
        <v>324</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ht="28">
      <c r="A3" s="37" t="s">
        <v>300</v>
      </c>
      <c r="B3" s="13" t="s">
        <v>325</v>
      </c>
      <c r="C3" s="13" t="s">
        <v>326</v>
      </c>
      <c r="D3" s="13" t="s">
        <v>327</v>
      </c>
      <c r="E3" s="13">
        <v>200</v>
      </c>
      <c r="F3" s="13" t="s">
        <v>327</v>
      </c>
      <c r="G3" s="57">
        <v>1600</v>
      </c>
      <c r="H3" s="13" t="s">
        <v>327</v>
      </c>
      <c r="I3" s="57">
        <v>3000</v>
      </c>
      <c r="J3" s="13" t="s">
        <v>327</v>
      </c>
      <c r="K3" s="13">
        <v>800</v>
      </c>
      <c r="L3" s="13" t="s">
        <v>327</v>
      </c>
      <c r="M3" s="13">
        <v>800</v>
      </c>
    </row>
    <row r="4" spans="1:13">
      <c r="G4" s="57"/>
      <c r="I4" s="57"/>
    </row>
    <row r="5" spans="1:13">
      <c r="A5" s="13" t="s">
        <v>19</v>
      </c>
      <c r="B5" s="13" t="s">
        <v>328</v>
      </c>
      <c r="C5" s="13" t="s">
        <v>829</v>
      </c>
      <c r="E5" s="13">
        <v>105</v>
      </c>
      <c r="G5" s="13">
        <v>176</v>
      </c>
      <c r="I5" s="13">
        <v>24</v>
      </c>
      <c r="K5" s="13">
        <v>59</v>
      </c>
      <c r="M5" s="13">
        <v>9</v>
      </c>
    </row>
    <row r="6" spans="1:13">
      <c r="A6" s="13" t="s">
        <v>19</v>
      </c>
      <c r="B6" s="13" t="s">
        <v>328</v>
      </c>
      <c r="C6" s="13" t="s">
        <v>201</v>
      </c>
      <c r="E6" s="13">
        <v>24</v>
      </c>
      <c r="G6" s="13">
        <v>42</v>
      </c>
      <c r="I6" s="13">
        <v>10</v>
      </c>
      <c r="K6" s="13">
        <v>16</v>
      </c>
      <c r="M6" s="13">
        <v>0</v>
      </c>
    </row>
    <row r="7" spans="1:13">
      <c r="A7" s="13" t="s">
        <v>19</v>
      </c>
      <c r="B7" s="13" t="s">
        <v>329</v>
      </c>
      <c r="C7" s="13" t="s">
        <v>829</v>
      </c>
      <c r="E7" s="57">
        <v>145115</v>
      </c>
      <c r="G7" s="57">
        <v>89037</v>
      </c>
      <c r="I7" s="57">
        <v>91629</v>
      </c>
      <c r="K7" s="57">
        <v>74350</v>
      </c>
      <c r="M7" s="57">
        <v>123276</v>
      </c>
    </row>
    <row r="8" spans="1:13">
      <c r="A8" s="13" t="s">
        <v>19</v>
      </c>
      <c r="B8" s="13" t="s">
        <v>329</v>
      </c>
      <c r="C8" s="13" t="s">
        <v>201</v>
      </c>
      <c r="E8" s="57">
        <v>4293</v>
      </c>
      <c r="G8" s="57">
        <v>3881</v>
      </c>
      <c r="I8" s="57">
        <v>4903</v>
      </c>
      <c r="K8" s="57">
        <v>3724</v>
      </c>
      <c r="M8" s="57">
        <v>3734</v>
      </c>
    </row>
    <row r="9" spans="1:13">
      <c r="A9" s="13" t="s">
        <v>19</v>
      </c>
      <c r="B9" s="13" t="s">
        <v>330</v>
      </c>
      <c r="C9" s="13" t="s">
        <v>829</v>
      </c>
      <c r="E9" s="57">
        <v>24423</v>
      </c>
      <c r="G9" s="57">
        <v>27929</v>
      </c>
      <c r="I9" s="57">
        <v>24538</v>
      </c>
      <c r="K9" s="57">
        <v>15523</v>
      </c>
      <c r="M9" s="57">
        <v>33570</v>
      </c>
    </row>
    <row r="10" spans="1:13">
      <c r="A10" s="13" t="s">
        <v>19</v>
      </c>
      <c r="B10" s="13" t="s">
        <v>330</v>
      </c>
      <c r="C10" s="13" t="s">
        <v>201</v>
      </c>
      <c r="E10" s="13">
        <v>627</v>
      </c>
      <c r="G10" s="13">
        <v>588</v>
      </c>
      <c r="I10" s="13">
        <v>684</v>
      </c>
      <c r="K10" s="13">
        <v>250</v>
      </c>
      <c r="M10" s="13">
        <v>752</v>
      </c>
    </row>
    <row r="11" spans="1:13">
      <c r="A11" s="13" t="s">
        <v>19</v>
      </c>
      <c r="B11" s="13" t="s">
        <v>331</v>
      </c>
      <c r="C11" s="13" t="s">
        <v>829</v>
      </c>
      <c r="E11" s="57">
        <v>5199</v>
      </c>
      <c r="G11" s="57">
        <v>2978</v>
      </c>
      <c r="I11" s="57">
        <v>1109</v>
      </c>
      <c r="K11" s="57">
        <v>3913</v>
      </c>
      <c r="M11" s="57">
        <v>5705</v>
      </c>
    </row>
    <row r="12" spans="1:13">
      <c r="A12" s="13" t="s">
        <v>19</v>
      </c>
      <c r="B12" s="13" t="s">
        <v>331</v>
      </c>
      <c r="C12" s="13" t="s">
        <v>201</v>
      </c>
      <c r="E12" s="13">
        <v>117</v>
      </c>
      <c r="G12" s="13">
        <v>128</v>
      </c>
      <c r="I12" s="13">
        <v>85</v>
      </c>
      <c r="K12" s="13">
        <v>162</v>
      </c>
      <c r="M12" s="13">
        <v>162</v>
      </c>
    </row>
    <row r="13" spans="1:13">
      <c r="A13" s="13" t="s">
        <v>19</v>
      </c>
      <c r="B13" s="13" t="s">
        <v>332</v>
      </c>
      <c r="C13" s="13" t="s">
        <v>829</v>
      </c>
      <c r="E13" s="57">
        <v>21651</v>
      </c>
      <c r="G13" s="57">
        <v>10663</v>
      </c>
      <c r="I13" s="57">
        <v>5089</v>
      </c>
      <c r="K13" s="57">
        <v>11098</v>
      </c>
      <c r="M13" s="57">
        <v>24148</v>
      </c>
    </row>
    <row r="14" spans="1:13">
      <c r="A14" s="13" t="s">
        <v>19</v>
      </c>
      <c r="B14" s="13" t="s">
        <v>332</v>
      </c>
      <c r="C14" s="13" t="s">
        <v>201</v>
      </c>
      <c r="E14" s="57">
        <v>1262</v>
      </c>
      <c r="G14" s="13">
        <v>931</v>
      </c>
      <c r="I14" s="13">
        <v>478</v>
      </c>
      <c r="K14" s="13">
        <v>992</v>
      </c>
      <c r="M14" s="57">
        <v>1443</v>
      </c>
    </row>
    <row r="15" spans="1:13">
      <c r="E15" s="57"/>
      <c r="M15" s="57"/>
    </row>
    <row r="16" spans="1:13">
      <c r="A16" s="13" t="s">
        <v>20</v>
      </c>
      <c r="B16" s="13" t="s">
        <v>328</v>
      </c>
      <c r="C16" s="13" t="s">
        <v>829</v>
      </c>
      <c r="E16" s="13">
        <v>307</v>
      </c>
      <c r="G16" s="13">
        <v>310</v>
      </c>
      <c r="I16" s="13">
        <v>207</v>
      </c>
      <c r="K16" s="13">
        <v>225</v>
      </c>
      <c r="M16" s="13">
        <v>661</v>
      </c>
    </row>
    <row r="17" spans="1:13">
      <c r="A17" s="13" t="s">
        <v>20</v>
      </c>
      <c r="B17" s="13" t="s">
        <v>328</v>
      </c>
      <c r="C17" s="13" t="s">
        <v>201</v>
      </c>
      <c r="E17" s="13">
        <v>9</v>
      </c>
      <c r="G17" s="13">
        <v>68</v>
      </c>
      <c r="I17" s="13">
        <v>70</v>
      </c>
      <c r="K17" s="13">
        <v>5</v>
      </c>
      <c r="M17" s="13">
        <v>38</v>
      </c>
    </row>
    <row r="18" spans="1:13">
      <c r="A18" s="13" t="s">
        <v>20</v>
      </c>
      <c r="B18" s="13" t="s">
        <v>329</v>
      </c>
      <c r="C18" s="13" t="s">
        <v>829</v>
      </c>
      <c r="E18" s="57">
        <v>39502</v>
      </c>
      <c r="G18" s="57">
        <v>38117</v>
      </c>
      <c r="I18" s="57">
        <v>39973</v>
      </c>
      <c r="K18" s="57">
        <v>41403</v>
      </c>
      <c r="M18" s="57">
        <v>43608</v>
      </c>
    </row>
    <row r="19" spans="1:13">
      <c r="A19" s="13" t="s">
        <v>20</v>
      </c>
      <c r="B19" s="13" t="s">
        <v>329</v>
      </c>
      <c r="C19" s="13" t="s">
        <v>201</v>
      </c>
      <c r="E19" s="57">
        <v>1451</v>
      </c>
      <c r="G19" s="57">
        <v>1243</v>
      </c>
      <c r="I19" s="57">
        <v>1440</v>
      </c>
      <c r="K19" s="57">
        <v>1193</v>
      </c>
      <c r="M19" s="57">
        <v>1256</v>
      </c>
    </row>
    <row r="20" spans="1:13">
      <c r="A20" s="13" t="s">
        <v>20</v>
      </c>
      <c r="B20" s="13" t="s">
        <v>330</v>
      </c>
      <c r="C20" s="13" t="s">
        <v>829</v>
      </c>
      <c r="E20" s="57">
        <v>46103</v>
      </c>
      <c r="G20" s="57">
        <v>65077</v>
      </c>
      <c r="I20" s="57">
        <v>45942</v>
      </c>
      <c r="K20" s="57">
        <v>50536</v>
      </c>
      <c r="M20" s="57">
        <v>97136</v>
      </c>
    </row>
    <row r="21" spans="1:13">
      <c r="A21" s="13" t="s">
        <v>20</v>
      </c>
      <c r="B21" s="13" t="s">
        <v>330</v>
      </c>
      <c r="C21" s="13" t="s">
        <v>201</v>
      </c>
      <c r="E21" s="13">
        <v>984</v>
      </c>
      <c r="G21" s="57">
        <v>1045</v>
      </c>
      <c r="I21" s="13">
        <v>742</v>
      </c>
      <c r="K21" s="57">
        <v>1505</v>
      </c>
      <c r="M21" s="57">
        <v>1641</v>
      </c>
    </row>
    <row r="22" spans="1:13">
      <c r="A22" s="13" t="s">
        <v>20</v>
      </c>
      <c r="B22" s="13" t="s">
        <v>331</v>
      </c>
      <c r="C22" s="13" t="s">
        <v>829</v>
      </c>
      <c r="E22" s="57">
        <v>38190</v>
      </c>
      <c r="G22" s="57">
        <v>22650</v>
      </c>
      <c r="I22" s="57">
        <v>19238</v>
      </c>
      <c r="K22" s="57">
        <v>32816</v>
      </c>
      <c r="M22" s="57">
        <v>34554</v>
      </c>
    </row>
    <row r="23" spans="1:13">
      <c r="A23" s="13" t="s">
        <v>20</v>
      </c>
      <c r="B23" s="13" t="s">
        <v>331</v>
      </c>
      <c r="C23" s="13" t="s">
        <v>201</v>
      </c>
      <c r="E23" s="13">
        <v>878</v>
      </c>
      <c r="G23" s="13">
        <v>888</v>
      </c>
      <c r="I23" s="13">
        <v>821</v>
      </c>
      <c r="K23" s="13">
        <v>940</v>
      </c>
      <c r="M23" s="13">
        <v>630</v>
      </c>
    </row>
    <row r="24" spans="1:13">
      <c r="A24" s="13" t="s">
        <v>20</v>
      </c>
      <c r="B24" s="13" t="s">
        <v>332</v>
      </c>
      <c r="C24" s="13" t="s">
        <v>829</v>
      </c>
      <c r="E24" s="57">
        <v>29743</v>
      </c>
      <c r="G24" s="57">
        <v>15137</v>
      </c>
      <c r="I24" s="57">
        <v>7838</v>
      </c>
      <c r="K24" s="57">
        <v>11348</v>
      </c>
      <c r="M24" s="57">
        <v>16640</v>
      </c>
    </row>
    <row r="25" spans="1:13">
      <c r="A25" s="13" t="s">
        <v>20</v>
      </c>
      <c r="B25" s="13" t="s">
        <v>332</v>
      </c>
      <c r="C25" s="13" t="s">
        <v>201</v>
      </c>
      <c r="E25" s="57">
        <v>1535</v>
      </c>
      <c r="G25" s="13">
        <v>983</v>
      </c>
      <c r="I25" s="13">
        <v>536</v>
      </c>
      <c r="K25" s="13">
        <v>754</v>
      </c>
      <c r="M25" s="13">
        <v>749</v>
      </c>
    </row>
    <row r="26" spans="1:13" ht="7.5" customHeight="1">
      <c r="A26" s="35"/>
      <c r="B26" s="35"/>
      <c r="C26" s="35"/>
      <c r="D26" s="35"/>
      <c r="E26" s="35"/>
      <c r="F26" s="35"/>
      <c r="G26" s="35"/>
      <c r="H26" s="35"/>
      <c r="I26" s="35"/>
      <c r="J26" s="35"/>
      <c r="K26" s="35"/>
      <c r="L26" s="35"/>
      <c r="M26" s="35"/>
    </row>
    <row r="27" spans="1:13" ht="6" customHeight="1"/>
    <row r="28" spans="1:13">
      <c r="A28" s="13" t="s">
        <v>14</v>
      </c>
      <c r="B28" s="13" t="s">
        <v>15</v>
      </c>
    </row>
    <row r="29" spans="1:13">
      <c r="A29" s="13" t="s">
        <v>214</v>
      </c>
      <c r="B29" s="13" t="s">
        <v>333</v>
      </c>
    </row>
    <row r="30" spans="1:13">
      <c r="A30" s="13" t="s">
        <v>215</v>
      </c>
      <c r="B30" s="13" t="s">
        <v>334</v>
      </c>
    </row>
    <row r="31" spans="1:13" ht="5.25" customHeight="1"/>
    <row r="32" spans="1:13" ht="5.25" customHeight="1"/>
    <row r="33" spans="1:1">
      <c r="A33"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42958-6941-4A0D-8C19-BC5CE572C3DC}">
  <sheetPr codeName="Sheet3"/>
  <dimension ref="A1:L38"/>
  <sheetViews>
    <sheetView view="pageBreakPreview" zoomScaleNormal="100" zoomScaleSheetLayoutView="100" workbookViewId="0">
      <selection activeCell="A26" sqref="A26"/>
    </sheetView>
  </sheetViews>
  <sheetFormatPr defaultColWidth="9.1796875" defaultRowHeight="12.5"/>
  <cols>
    <col min="1" max="1" width="63.7265625" style="15" customWidth="1"/>
    <col min="2" max="2" width="7.54296875" style="16" customWidth="1"/>
    <col min="3" max="3" width="2" style="16" bestFit="1" customWidth="1"/>
    <col min="4" max="4" width="9.1796875" style="16"/>
    <col min="5" max="5" width="2" style="16" bestFit="1" customWidth="1"/>
    <col min="6" max="6" width="9.1796875" style="16"/>
    <col min="7" max="7" width="2" style="16" bestFit="1" customWidth="1"/>
    <col min="8" max="8" width="9.1796875" style="16"/>
    <col min="9" max="9" width="2" style="16" bestFit="1" customWidth="1"/>
    <col min="10" max="10" width="9.1796875" style="16"/>
    <col min="11" max="11" width="2" style="16" bestFit="1" customWidth="1"/>
    <col min="12" max="16384" width="9.1796875" style="16"/>
  </cols>
  <sheetData>
    <row r="1" spans="1:12" ht="31">
      <c r="A1" s="38" t="s">
        <v>814</v>
      </c>
      <c r="B1" s="21"/>
      <c r="L1" s="22" t="s">
        <v>811</v>
      </c>
    </row>
    <row r="2" spans="1:12">
      <c r="A2" s="30" t="s">
        <v>0</v>
      </c>
      <c r="B2" s="23"/>
      <c r="C2" s="23" t="s">
        <v>1</v>
      </c>
      <c r="D2" s="23">
        <v>2018</v>
      </c>
      <c r="E2" s="23" t="s">
        <v>1</v>
      </c>
      <c r="F2" s="23">
        <v>2019</v>
      </c>
      <c r="G2" s="23" t="s">
        <v>1</v>
      </c>
      <c r="H2" s="23">
        <v>2020</v>
      </c>
      <c r="I2" s="23" t="s">
        <v>1</v>
      </c>
      <c r="J2" s="23">
        <v>2021</v>
      </c>
      <c r="K2" s="23" t="s">
        <v>1</v>
      </c>
      <c r="L2" s="23">
        <v>2022</v>
      </c>
    </row>
    <row r="3" spans="1:12">
      <c r="A3" s="15" t="s">
        <v>671</v>
      </c>
    </row>
    <row r="4" spans="1:12">
      <c r="A4" s="15" t="s">
        <v>2</v>
      </c>
      <c r="D4" s="24">
        <v>46209.3</v>
      </c>
      <c r="E4" s="24"/>
      <c r="F4" s="24">
        <v>47541.9</v>
      </c>
      <c r="G4" s="24"/>
      <c r="H4" s="24">
        <v>47714.5</v>
      </c>
      <c r="I4" s="24"/>
      <c r="J4" s="24">
        <v>44392.3</v>
      </c>
      <c r="K4" s="24"/>
      <c r="L4" s="24">
        <v>55575.3</v>
      </c>
    </row>
    <row r="5" spans="1:12">
      <c r="A5" s="15" t="s">
        <v>3</v>
      </c>
      <c r="D5" s="24">
        <v>12105.8</v>
      </c>
      <c r="E5" s="24"/>
      <c r="F5" s="24">
        <v>12354.1</v>
      </c>
      <c r="G5" s="24"/>
      <c r="H5" s="24">
        <v>13221.3</v>
      </c>
      <c r="I5" s="24"/>
      <c r="J5" s="24">
        <v>16495.8</v>
      </c>
      <c r="K5" s="24"/>
      <c r="L5" s="24">
        <v>12756.8</v>
      </c>
    </row>
    <row r="6" spans="1:12">
      <c r="A6" s="15" t="s">
        <v>4</v>
      </c>
      <c r="D6" s="24">
        <v>3788</v>
      </c>
      <c r="E6" s="24"/>
      <c r="F6" s="24">
        <v>3997.4</v>
      </c>
      <c r="G6" s="24"/>
      <c r="H6" s="24">
        <v>4716.2</v>
      </c>
      <c r="I6" s="24"/>
      <c r="J6" s="24">
        <v>6322.1</v>
      </c>
      <c r="K6" s="24"/>
      <c r="L6" s="24">
        <v>7766.5</v>
      </c>
    </row>
    <row r="7" spans="1:12">
      <c r="A7" s="15" t="s">
        <v>5</v>
      </c>
      <c r="D7" s="24">
        <v>50415.6</v>
      </c>
      <c r="E7" s="24"/>
      <c r="F7" s="24">
        <v>43971.9</v>
      </c>
      <c r="G7" s="24"/>
      <c r="H7" s="24">
        <v>26183.7</v>
      </c>
      <c r="I7" s="24"/>
      <c r="J7" s="24">
        <v>51096.7</v>
      </c>
      <c r="K7" s="24"/>
      <c r="L7" s="24">
        <v>111453.2</v>
      </c>
    </row>
    <row r="8" spans="1:12">
      <c r="A8" s="15" t="s">
        <v>6</v>
      </c>
      <c r="D8" s="24">
        <v>49105.599999999999</v>
      </c>
      <c r="E8" s="24"/>
      <c r="F8" s="24">
        <v>42912.2</v>
      </c>
      <c r="G8" s="24"/>
      <c r="H8" s="24">
        <v>25450.400000000001</v>
      </c>
      <c r="I8" s="24"/>
      <c r="J8" s="24">
        <v>48217.5</v>
      </c>
      <c r="K8" s="24"/>
      <c r="L8" s="24">
        <v>108345.2</v>
      </c>
    </row>
    <row r="9" spans="1:12">
      <c r="A9" s="15" t="s">
        <v>7</v>
      </c>
      <c r="D9" s="24">
        <v>113457.7</v>
      </c>
      <c r="E9" s="24"/>
      <c r="F9" s="24">
        <v>114301.1</v>
      </c>
      <c r="G9" s="24"/>
      <c r="H9" s="24">
        <v>108078.5</v>
      </c>
      <c r="I9" s="24"/>
      <c r="J9" s="24">
        <v>121976.5</v>
      </c>
      <c r="K9" s="24"/>
      <c r="L9" s="24">
        <v>103352.9</v>
      </c>
    </row>
    <row r="10" spans="1:12">
      <c r="A10" s="15" t="s">
        <v>8</v>
      </c>
      <c r="D10" s="24">
        <v>40502.9</v>
      </c>
      <c r="E10" s="24"/>
      <c r="F10" s="24">
        <v>41463.300000000003</v>
      </c>
      <c r="G10" s="24"/>
      <c r="H10" s="24">
        <v>37710.199999999997</v>
      </c>
      <c r="I10" s="24"/>
      <c r="J10" s="24">
        <v>49710.5</v>
      </c>
      <c r="K10" s="24"/>
      <c r="L10" s="24">
        <v>52348.7</v>
      </c>
    </row>
    <row r="11" spans="1:12">
      <c r="A11" s="15" t="s">
        <v>9</v>
      </c>
      <c r="D11" s="24">
        <v>253603.3</v>
      </c>
      <c r="E11" s="24"/>
      <c r="F11" s="24">
        <v>262977.09999999998</v>
      </c>
      <c r="G11" s="24"/>
      <c r="H11" s="24">
        <v>223801.2</v>
      </c>
      <c r="I11" s="24"/>
      <c r="J11" s="24">
        <v>224905.8</v>
      </c>
      <c r="K11" s="24"/>
      <c r="L11" s="24">
        <v>285084.79999999999</v>
      </c>
    </row>
    <row r="12" spans="1:12" ht="4.5" customHeight="1">
      <c r="D12" s="24"/>
      <c r="E12" s="24"/>
      <c r="F12" s="24"/>
      <c r="G12" s="24"/>
      <c r="H12" s="24"/>
      <c r="I12" s="24"/>
      <c r="J12" s="24"/>
      <c r="K12" s="24"/>
      <c r="L12" s="24"/>
    </row>
    <row r="13" spans="1:12" ht="13">
      <c r="A13" s="15" t="s">
        <v>10</v>
      </c>
      <c r="B13" s="21" t="s">
        <v>160</v>
      </c>
      <c r="C13" s="21"/>
      <c r="D13" s="25">
        <v>475791.8</v>
      </c>
      <c r="E13" s="25"/>
      <c r="F13" s="25">
        <v>481146.2</v>
      </c>
      <c r="G13" s="25"/>
      <c r="H13" s="25">
        <v>418999.2</v>
      </c>
      <c r="I13" s="25"/>
      <c r="J13" s="25">
        <v>458867.1</v>
      </c>
      <c r="K13" s="25"/>
      <c r="L13" s="25">
        <v>568223</v>
      </c>
    </row>
    <row r="14" spans="1:12" ht="5.25" customHeight="1">
      <c r="D14" s="24"/>
      <c r="E14" s="24"/>
      <c r="F14" s="24"/>
      <c r="G14" s="24"/>
      <c r="H14" s="24"/>
      <c r="I14" s="24"/>
      <c r="J14" s="24"/>
      <c r="K14" s="24"/>
      <c r="L14" s="24"/>
    </row>
    <row r="15" spans="1:12">
      <c r="A15" s="15" t="s">
        <v>11</v>
      </c>
      <c r="D15" s="24">
        <v>93396.5</v>
      </c>
      <c r="E15" s="24"/>
      <c r="F15" s="24">
        <v>88373</v>
      </c>
      <c r="G15" s="24"/>
      <c r="H15" s="24">
        <v>67876.800000000003</v>
      </c>
      <c r="I15" s="24"/>
      <c r="J15" s="24">
        <v>104250.1</v>
      </c>
      <c r="K15" s="24"/>
      <c r="L15" s="24">
        <v>168460.4</v>
      </c>
    </row>
    <row r="16" spans="1:12">
      <c r="A16" s="15" t="s">
        <v>12</v>
      </c>
      <c r="D16" s="24">
        <v>19.600000000000001</v>
      </c>
      <c r="E16" s="24"/>
      <c r="F16" s="24">
        <v>18.399999999999999</v>
      </c>
      <c r="G16" s="24"/>
      <c r="H16" s="24">
        <v>16.2</v>
      </c>
      <c r="I16" s="24"/>
      <c r="J16" s="24">
        <v>22.7</v>
      </c>
      <c r="K16" s="24"/>
      <c r="L16" s="24">
        <v>29.6</v>
      </c>
    </row>
    <row r="17" spans="1:12">
      <c r="D17" s="24"/>
      <c r="E17" s="24"/>
      <c r="F17" s="24"/>
      <c r="G17" s="24"/>
      <c r="H17" s="24"/>
      <c r="I17" s="24"/>
      <c r="J17" s="24"/>
      <c r="K17" s="24"/>
      <c r="L17" s="24"/>
    </row>
    <row r="18" spans="1:12">
      <c r="A18" s="15" t="s">
        <v>672</v>
      </c>
      <c r="D18" s="24"/>
      <c r="E18" s="24"/>
      <c r="F18" s="24"/>
      <c r="G18" s="24"/>
      <c r="H18" s="24"/>
      <c r="I18" s="24"/>
      <c r="J18" s="24"/>
      <c r="K18" s="24"/>
      <c r="L18" s="24"/>
    </row>
    <row r="19" spans="1:12">
      <c r="A19" s="15" t="s">
        <v>2</v>
      </c>
      <c r="D19" s="24">
        <v>22582.9</v>
      </c>
      <c r="E19" s="24"/>
      <c r="F19" s="24">
        <v>23820.6</v>
      </c>
      <c r="G19" s="24"/>
      <c r="H19" s="24">
        <v>21652</v>
      </c>
      <c r="I19" s="24"/>
      <c r="J19" s="24">
        <v>20329.2</v>
      </c>
      <c r="K19" s="24"/>
      <c r="L19" s="24">
        <v>24832.5</v>
      </c>
    </row>
    <row r="20" spans="1:12">
      <c r="A20" s="15" t="s">
        <v>3</v>
      </c>
      <c r="D20" s="24">
        <v>7841.3</v>
      </c>
      <c r="E20" s="24"/>
      <c r="F20" s="24">
        <v>7404.7</v>
      </c>
      <c r="G20" s="24"/>
      <c r="H20" s="24">
        <v>6991.4</v>
      </c>
      <c r="I20" s="24"/>
      <c r="J20" s="24">
        <v>10175.799999999999</v>
      </c>
      <c r="K20" s="24"/>
      <c r="L20" s="24">
        <v>16162.8</v>
      </c>
    </row>
    <row r="21" spans="1:12">
      <c r="A21" s="15" t="s">
        <v>4</v>
      </c>
      <c r="D21" s="24">
        <v>4959.3999999999996</v>
      </c>
      <c r="E21" s="24"/>
      <c r="F21" s="24">
        <v>4721</v>
      </c>
      <c r="G21" s="24"/>
      <c r="H21" s="24">
        <v>4598.8999999999996</v>
      </c>
      <c r="I21" s="24"/>
      <c r="J21" s="24">
        <v>7334.1</v>
      </c>
      <c r="K21" s="24"/>
      <c r="L21" s="24">
        <v>6109.6</v>
      </c>
    </row>
    <row r="22" spans="1:12">
      <c r="A22" s="15" t="s">
        <v>5</v>
      </c>
      <c r="D22" s="24">
        <v>35009.800000000003</v>
      </c>
      <c r="E22" s="24"/>
      <c r="F22" s="24">
        <v>31671.599999999999</v>
      </c>
      <c r="G22" s="24"/>
      <c r="H22" s="24">
        <v>20725.5</v>
      </c>
      <c r="I22" s="24"/>
      <c r="J22" s="24">
        <v>25467.7</v>
      </c>
      <c r="K22" s="24"/>
      <c r="L22" s="24">
        <v>50063.4</v>
      </c>
    </row>
    <row r="23" spans="1:12">
      <c r="A23" s="15" t="s">
        <v>6</v>
      </c>
      <c r="D23" s="24">
        <v>34883.699999999997</v>
      </c>
      <c r="E23" s="24"/>
      <c r="F23" s="24">
        <v>31530.799999999999</v>
      </c>
      <c r="G23" s="24"/>
      <c r="H23" s="24">
        <v>20577.099999999999</v>
      </c>
      <c r="I23" s="24"/>
      <c r="J23" s="24">
        <v>24936.3</v>
      </c>
      <c r="K23" s="24"/>
      <c r="L23" s="24">
        <v>46586.3</v>
      </c>
    </row>
    <row r="24" spans="1:12">
      <c r="A24" s="15" t="s">
        <v>7</v>
      </c>
      <c r="D24" s="24">
        <v>86532.3</v>
      </c>
      <c r="E24" s="24"/>
      <c r="F24" s="24">
        <v>86205.6</v>
      </c>
      <c r="G24" s="24"/>
      <c r="H24" s="24">
        <v>86209</v>
      </c>
      <c r="I24" s="24"/>
      <c r="J24" s="24">
        <v>87817.4</v>
      </c>
      <c r="K24" s="24"/>
      <c r="L24" s="24">
        <v>144054.9</v>
      </c>
    </row>
    <row r="25" spans="1:12">
      <c r="A25" s="15" t="s">
        <v>8</v>
      </c>
      <c r="D25" s="24">
        <v>32849</v>
      </c>
      <c r="E25" s="24"/>
      <c r="F25" s="24">
        <v>32996.1</v>
      </c>
      <c r="G25" s="24"/>
      <c r="H25" s="24">
        <v>36548</v>
      </c>
      <c r="I25" s="24"/>
      <c r="J25" s="24">
        <v>37880.1</v>
      </c>
      <c r="K25" s="24"/>
      <c r="L25" s="24">
        <v>52501.4</v>
      </c>
    </row>
    <row r="26" spans="1:12">
      <c r="A26" s="15" t="s">
        <v>9</v>
      </c>
      <c r="D26" s="24">
        <v>180564.9</v>
      </c>
      <c r="E26" s="24"/>
      <c r="F26" s="24">
        <v>190918.1</v>
      </c>
      <c r="G26" s="24"/>
      <c r="H26" s="24">
        <v>149012.4</v>
      </c>
      <c r="I26" s="24"/>
      <c r="J26" s="24">
        <v>150779.5</v>
      </c>
      <c r="K26" s="24"/>
      <c r="L26" s="24">
        <v>171060.4</v>
      </c>
    </row>
    <row r="27" spans="1:12">
      <c r="D27" s="24"/>
      <c r="E27" s="24"/>
      <c r="F27" s="24"/>
      <c r="G27" s="24"/>
      <c r="H27" s="24"/>
      <c r="I27" s="24"/>
      <c r="J27" s="24"/>
      <c r="K27" s="24"/>
      <c r="L27" s="24"/>
    </row>
    <row r="28" spans="1:12" ht="13">
      <c r="A28" s="15" t="s">
        <v>10</v>
      </c>
      <c r="B28" s="21" t="s">
        <v>160</v>
      </c>
      <c r="C28" s="21"/>
      <c r="D28" s="25">
        <v>332531.3</v>
      </c>
      <c r="E28" s="25"/>
      <c r="F28" s="25">
        <v>340020.6</v>
      </c>
      <c r="G28" s="25"/>
      <c r="H28" s="25">
        <v>284590.3</v>
      </c>
      <c r="I28" s="25"/>
      <c r="J28" s="25">
        <v>294569.59999999998</v>
      </c>
      <c r="K28" s="25"/>
      <c r="L28" s="25">
        <v>406174</v>
      </c>
    </row>
    <row r="29" spans="1:12">
      <c r="D29" s="24"/>
      <c r="E29" s="24"/>
      <c r="F29" s="24"/>
      <c r="G29" s="24"/>
      <c r="H29" s="24"/>
      <c r="I29" s="24"/>
      <c r="J29" s="24"/>
      <c r="K29" s="24"/>
      <c r="L29" s="24"/>
    </row>
    <row r="30" spans="1:12">
      <c r="A30" s="15" t="s">
        <v>11</v>
      </c>
      <c r="D30" s="24">
        <v>72692.100000000006</v>
      </c>
      <c r="E30" s="24"/>
      <c r="F30" s="24">
        <v>69247.899999999994</v>
      </c>
      <c r="G30" s="24"/>
      <c r="H30" s="24">
        <v>61724</v>
      </c>
      <c r="I30" s="24"/>
      <c r="J30" s="24">
        <v>70150.5</v>
      </c>
      <c r="K30" s="24"/>
      <c r="L30" s="24">
        <v>105197.3</v>
      </c>
    </row>
    <row r="31" spans="1:12">
      <c r="A31" s="15" t="s">
        <v>13</v>
      </c>
      <c r="D31" s="24">
        <v>21.9</v>
      </c>
      <c r="E31" s="24"/>
      <c r="F31" s="24">
        <v>20.399999999999999</v>
      </c>
      <c r="G31" s="24"/>
      <c r="H31" s="24">
        <v>21.7</v>
      </c>
      <c r="I31" s="24"/>
      <c r="J31" s="24">
        <v>23.8</v>
      </c>
      <c r="K31" s="24"/>
      <c r="L31" s="24">
        <v>25.9</v>
      </c>
    </row>
    <row r="32" spans="1:12" ht="5.25" customHeight="1">
      <c r="A32" s="34"/>
      <c r="B32" s="26"/>
      <c r="C32" s="26"/>
      <c r="D32" s="26"/>
      <c r="E32" s="26"/>
      <c r="F32" s="26"/>
      <c r="G32" s="26"/>
      <c r="H32" s="26"/>
      <c r="I32" s="26"/>
      <c r="J32" s="26"/>
      <c r="K32" s="26"/>
      <c r="L32" s="26"/>
    </row>
    <row r="33" spans="1:11" ht="5.25" customHeight="1"/>
    <row r="34" spans="1:11">
      <c r="A34" s="101" t="s">
        <v>779</v>
      </c>
      <c r="B34" s="101"/>
      <c r="C34" s="101"/>
      <c r="D34" s="101"/>
      <c r="E34" s="101"/>
      <c r="F34" s="101"/>
      <c r="G34" s="101"/>
      <c r="H34" s="101"/>
      <c r="I34" s="101"/>
      <c r="J34" s="101"/>
      <c r="K34" s="101"/>
    </row>
    <row r="35" spans="1:11" ht="25">
      <c r="A35" s="36" t="s">
        <v>778</v>
      </c>
      <c r="B35" s="27"/>
    </row>
    <row r="36" spans="1:11" ht="7.5" customHeight="1"/>
    <row r="37" spans="1:11" ht="5.25" customHeight="1"/>
    <row r="38" spans="1:11">
      <c r="A38" s="18" t="str">
        <f>HYPERLINK("[UKMY 2023 PrintableV1.1 12_09_24.xlsx]Contents!A1","Return to contents page")</f>
        <v>Return to contents page</v>
      </c>
      <c r="B38" s="28"/>
    </row>
  </sheetData>
  <mergeCells count="1">
    <mergeCell ref="A34:K34"/>
  </mergeCell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CBCF2-785B-44C0-B652-FFD83AED8338}">
  <dimension ref="A1:M64"/>
  <sheetViews>
    <sheetView view="pageBreakPreview" zoomScaleNormal="100" zoomScaleSheetLayoutView="100" workbookViewId="0">
      <selection activeCell="A11" sqref="A11"/>
    </sheetView>
  </sheetViews>
  <sheetFormatPr defaultColWidth="9.1796875" defaultRowHeight="14"/>
  <cols>
    <col min="1" max="1" width="15.1796875" style="13" customWidth="1"/>
    <col min="2" max="2" width="38" style="13" bestFit="1" customWidth="1"/>
    <col min="3" max="3" width="15.26953125" style="13" bestFit="1" customWidth="1"/>
    <col min="4" max="4" width="2.1796875" style="13" bestFit="1" customWidth="1"/>
    <col min="5" max="5" width="10.179687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6384" width="9.1796875" style="13"/>
  </cols>
  <sheetData>
    <row r="1" spans="1:13" ht="15.5">
      <c r="A1" s="51" t="s">
        <v>335</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336</v>
      </c>
      <c r="C3" s="13" t="s">
        <v>201</v>
      </c>
      <c r="E3" s="57">
        <v>1263000</v>
      </c>
      <c r="G3" s="57">
        <v>1295000</v>
      </c>
      <c r="I3" s="57">
        <v>1203000</v>
      </c>
      <c r="K3" s="57">
        <v>1104000</v>
      </c>
      <c r="M3" s="57">
        <v>938000</v>
      </c>
    </row>
    <row r="4" spans="1:13">
      <c r="A4" s="13" t="s">
        <v>38</v>
      </c>
      <c r="B4" s="13" t="s">
        <v>337</v>
      </c>
      <c r="C4" s="13" t="s">
        <v>201</v>
      </c>
      <c r="E4" s="57">
        <v>17000</v>
      </c>
      <c r="G4" s="57">
        <v>19000</v>
      </c>
      <c r="I4" s="57">
        <v>16000</v>
      </c>
      <c r="K4" s="57">
        <v>15000</v>
      </c>
      <c r="M4" s="57">
        <v>17000</v>
      </c>
    </row>
    <row r="5" spans="1:13">
      <c r="E5" s="57"/>
      <c r="G5" s="57"/>
      <c r="I5" s="57"/>
      <c r="K5" s="57"/>
      <c r="M5" s="57"/>
    </row>
    <row r="6" spans="1:13">
      <c r="A6" s="13" t="s">
        <v>223</v>
      </c>
      <c r="B6" s="13" t="s">
        <v>714</v>
      </c>
      <c r="C6" s="13" t="s">
        <v>201</v>
      </c>
      <c r="E6" s="57">
        <v>1554000</v>
      </c>
      <c r="G6" s="57">
        <v>1705000</v>
      </c>
      <c r="I6" s="57">
        <v>1741000</v>
      </c>
      <c r="K6" s="57">
        <v>1899000</v>
      </c>
      <c r="M6" s="57">
        <v>1854000</v>
      </c>
    </row>
    <row r="7" spans="1:13">
      <c r="A7" s="13" t="s">
        <v>223</v>
      </c>
      <c r="B7" s="13" t="s">
        <v>338</v>
      </c>
      <c r="C7" s="13" t="s">
        <v>201</v>
      </c>
      <c r="E7" s="57">
        <v>592000</v>
      </c>
      <c r="G7" s="57">
        <v>613000</v>
      </c>
      <c r="I7" s="57">
        <v>588000</v>
      </c>
      <c r="K7" s="57">
        <v>500000</v>
      </c>
      <c r="M7" s="57">
        <v>552000</v>
      </c>
    </row>
    <row r="8" spans="1:13">
      <c r="E8" s="57"/>
      <c r="G8" s="57"/>
      <c r="I8" s="57"/>
      <c r="K8" s="57"/>
      <c r="M8" s="57"/>
    </row>
    <row r="9" spans="1:13">
      <c r="A9" s="13" t="s">
        <v>19</v>
      </c>
      <c r="B9" s="13" t="s">
        <v>339</v>
      </c>
      <c r="C9" s="13" t="s">
        <v>829</v>
      </c>
      <c r="E9" s="57">
        <v>31264</v>
      </c>
      <c r="G9" s="57">
        <v>43145</v>
      </c>
      <c r="I9" s="57">
        <v>37840</v>
      </c>
      <c r="K9" s="57">
        <v>33568</v>
      </c>
      <c r="M9" s="57">
        <v>115124</v>
      </c>
    </row>
    <row r="10" spans="1:13">
      <c r="A10" s="13" t="s">
        <v>19</v>
      </c>
      <c r="B10" s="13" t="s">
        <v>339</v>
      </c>
      <c r="C10" s="13" t="s">
        <v>201</v>
      </c>
      <c r="E10" s="57">
        <v>115562</v>
      </c>
      <c r="G10" s="57">
        <v>162016</v>
      </c>
      <c r="I10" s="57">
        <v>217304</v>
      </c>
      <c r="K10" s="57">
        <v>146639</v>
      </c>
      <c r="M10" s="57">
        <v>264180</v>
      </c>
    </row>
    <row r="11" spans="1:13">
      <c r="A11" s="13" t="s">
        <v>19</v>
      </c>
      <c r="B11" s="13" t="s">
        <v>340</v>
      </c>
      <c r="C11" s="13" t="s">
        <v>829</v>
      </c>
      <c r="E11" s="13">
        <v>119</v>
      </c>
      <c r="G11" s="13">
        <v>97</v>
      </c>
      <c r="I11" s="13">
        <v>117</v>
      </c>
      <c r="K11" s="13">
        <v>147</v>
      </c>
      <c r="M11" s="13">
        <v>224</v>
      </c>
    </row>
    <row r="12" spans="1:13">
      <c r="A12" s="13" t="s">
        <v>19</v>
      </c>
      <c r="B12" s="13" t="s">
        <v>340</v>
      </c>
      <c r="C12" s="13" t="s">
        <v>201</v>
      </c>
      <c r="E12" s="13">
        <v>174</v>
      </c>
      <c r="G12" s="13">
        <v>151</v>
      </c>
      <c r="I12" s="13">
        <v>174</v>
      </c>
      <c r="K12" s="13">
        <v>227</v>
      </c>
      <c r="M12" s="13">
        <v>248</v>
      </c>
    </row>
    <row r="14" spans="1:13">
      <c r="A14" s="13" t="s">
        <v>20</v>
      </c>
      <c r="B14" s="13" t="s">
        <v>339</v>
      </c>
      <c r="C14" s="13" t="s">
        <v>829</v>
      </c>
      <c r="E14" s="57">
        <v>31543</v>
      </c>
      <c r="G14" s="57">
        <v>21593</v>
      </c>
      <c r="I14" s="57">
        <v>6209</v>
      </c>
      <c r="K14" s="57">
        <v>11538</v>
      </c>
      <c r="M14" s="57">
        <v>16609</v>
      </c>
    </row>
    <row r="15" spans="1:13">
      <c r="A15" s="13" t="s">
        <v>20</v>
      </c>
      <c r="B15" s="13" t="s">
        <v>339</v>
      </c>
      <c r="C15" s="13" t="s">
        <v>201</v>
      </c>
      <c r="E15" s="57">
        <v>96321</v>
      </c>
      <c r="G15" s="57">
        <v>81865</v>
      </c>
      <c r="I15" s="57">
        <v>30043</v>
      </c>
      <c r="K15" s="57">
        <v>46200</v>
      </c>
      <c r="M15" s="57">
        <v>41850</v>
      </c>
    </row>
    <row r="16" spans="1:13">
      <c r="A16" s="13" t="s">
        <v>20</v>
      </c>
      <c r="B16" s="13" t="s">
        <v>340</v>
      </c>
      <c r="C16" s="13" t="s">
        <v>829</v>
      </c>
      <c r="E16" s="13">
        <v>1</v>
      </c>
      <c r="G16" s="13">
        <v>0</v>
      </c>
      <c r="I16" s="13">
        <v>0</v>
      </c>
      <c r="K16" s="13">
        <v>0</v>
      </c>
      <c r="M16" s="13">
        <v>0</v>
      </c>
    </row>
    <row r="17" spans="1:13">
      <c r="A17" s="13" t="s">
        <v>20</v>
      </c>
      <c r="B17" s="13" t="s">
        <v>340</v>
      </c>
      <c r="C17" s="13" t="s">
        <v>201</v>
      </c>
      <c r="E17" s="13">
        <v>0</v>
      </c>
      <c r="G17" s="13">
        <v>0</v>
      </c>
      <c r="I17" s="13">
        <v>0</v>
      </c>
      <c r="K17" s="13">
        <v>0</v>
      </c>
      <c r="M17" s="13">
        <v>0</v>
      </c>
    </row>
    <row r="18" spans="1:13">
      <c r="A18" s="35"/>
      <c r="B18" s="35"/>
      <c r="C18" s="35"/>
      <c r="D18" s="35"/>
      <c r="E18" s="35"/>
      <c r="F18" s="35"/>
      <c r="G18" s="35"/>
      <c r="H18" s="35"/>
      <c r="I18" s="35"/>
      <c r="J18" s="35"/>
      <c r="K18" s="35"/>
      <c r="L18" s="35"/>
      <c r="M18" s="35"/>
    </row>
    <row r="21" spans="1:13">
      <c r="A2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E65A-DC50-40E7-96D8-7835550EE88A}">
  <dimension ref="A1:M64"/>
  <sheetViews>
    <sheetView view="pageBreakPreview" zoomScaleNormal="100" zoomScaleSheetLayoutView="100" workbookViewId="0">
      <selection activeCell="F43" sqref="F43"/>
    </sheetView>
  </sheetViews>
  <sheetFormatPr defaultColWidth="9.1796875" defaultRowHeight="14"/>
  <cols>
    <col min="1" max="1" width="15" style="13" customWidth="1"/>
    <col min="2" max="2" width="34.81640625" style="37" customWidth="1"/>
    <col min="3" max="3" width="22.26953125" style="13" bestFit="1" customWidth="1"/>
    <col min="4" max="4" width="3.453125" style="13" bestFit="1" customWidth="1"/>
    <col min="5" max="5" width="8.453125" style="13" bestFit="1" customWidth="1"/>
    <col min="6" max="6" width="3.453125" style="13" bestFit="1" customWidth="1"/>
    <col min="7" max="7" width="8.453125" style="13" bestFit="1" customWidth="1"/>
    <col min="8" max="8" width="2.1796875" style="13" bestFit="1" customWidth="1"/>
    <col min="9" max="9" width="8.45312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6384" width="9.1796875" style="13"/>
  </cols>
  <sheetData>
    <row r="1" spans="1:13" ht="15.5">
      <c r="A1" s="51" t="s">
        <v>341</v>
      </c>
    </row>
    <row r="2" spans="1:13">
      <c r="A2" s="42" t="s">
        <v>670</v>
      </c>
      <c r="B2" s="58" t="s">
        <v>0</v>
      </c>
      <c r="C2" s="42" t="s">
        <v>669</v>
      </c>
      <c r="D2" s="42" t="s">
        <v>1</v>
      </c>
      <c r="E2" s="42">
        <v>2018</v>
      </c>
      <c r="F2" s="42" t="s">
        <v>1</v>
      </c>
      <c r="G2" s="42">
        <v>2019</v>
      </c>
      <c r="H2" s="42" t="s">
        <v>1</v>
      </c>
      <c r="I2" s="42">
        <v>2020</v>
      </c>
      <c r="J2" s="42" t="s">
        <v>1</v>
      </c>
      <c r="K2" s="42">
        <v>2021</v>
      </c>
      <c r="L2" s="42" t="s">
        <v>1</v>
      </c>
      <c r="M2" s="42">
        <v>2022</v>
      </c>
    </row>
    <row r="3" spans="1:13">
      <c r="A3" s="13" t="s">
        <v>223</v>
      </c>
      <c r="B3" s="37" t="s">
        <v>346</v>
      </c>
      <c r="C3" s="13" t="s">
        <v>326</v>
      </c>
      <c r="E3" s="57">
        <v>18000</v>
      </c>
      <c r="G3" s="57">
        <v>18000</v>
      </c>
      <c r="I3" s="57">
        <v>14400</v>
      </c>
      <c r="K3" s="57">
        <v>14400</v>
      </c>
      <c r="M3" s="57">
        <v>14400</v>
      </c>
    </row>
    <row r="4" spans="1:13">
      <c r="A4" s="13" t="s">
        <v>223</v>
      </c>
      <c r="B4" s="37" t="s">
        <v>346</v>
      </c>
      <c r="C4" s="13" t="s">
        <v>201</v>
      </c>
      <c r="E4" s="57">
        <v>18000</v>
      </c>
      <c r="G4" s="57">
        <v>18000</v>
      </c>
      <c r="I4" s="57">
        <v>14400</v>
      </c>
      <c r="K4" s="57">
        <v>14400</v>
      </c>
      <c r="M4" s="57">
        <v>14400</v>
      </c>
    </row>
    <row r="5" spans="1:13" ht="28">
      <c r="A5" s="13" t="s">
        <v>223</v>
      </c>
      <c r="B5" s="37" t="s">
        <v>771</v>
      </c>
      <c r="C5" s="13" t="s">
        <v>326</v>
      </c>
      <c r="D5" s="13" t="s">
        <v>205</v>
      </c>
      <c r="E5" s="57">
        <v>120000</v>
      </c>
      <c r="F5" s="13" t="s">
        <v>205</v>
      </c>
      <c r="G5" s="57">
        <v>120000</v>
      </c>
    </row>
    <row r="6" spans="1:13" ht="28">
      <c r="A6" s="13" t="s">
        <v>223</v>
      </c>
      <c r="B6" s="37" t="s">
        <v>771</v>
      </c>
      <c r="C6" s="13" t="s">
        <v>201</v>
      </c>
      <c r="D6" s="13" t="s">
        <v>209</v>
      </c>
      <c r="E6" s="57">
        <v>120000</v>
      </c>
      <c r="F6" s="13" t="s">
        <v>209</v>
      </c>
      <c r="G6" s="57">
        <v>120000</v>
      </c>
    </row>
    <row r="7" spans="1:13">
      <c r="E7" s="57"/>
      <c r="G7" s="57"/>
    </row>
    <row r="8" spans="1:13">
      <c r="A8" s="13" t="s">
        <v>19</v>
      </c>
      <c r="B8" s="37" t="s">
        <v>342</v>
      </c>
      <c r="C8" s="13" t="s">
        <v>829</v>
      </c>
      <c r="E8" s="13">
        <v>53</v>
      </c>
      <c r="G8" s="13">
        <v>48</v>
      </c>
      <c r="I8" s="13">
        <v>25</v>
      </c>
      <c r="K8" s="13">
        <v>5</v>
      </c>
      <c r="M8" s="13">
        <v>13</v>
      </c>
    </row>
    <row r="9" spans="1:13">
      <c r="A9" s="13" t="s">
        <v>19</v>
      </c>
      <c r="B9" s="37" t="s">
        <v>342</v>
      </c>
      <c r="C9" s="13" t="s">
        <v>201</v>
      </c>
      <c r="E9" s="13">
        <v>51</v>
      </c>
      <c r="G9" s="13">
        <v>133</v>
      </c>
      <c r="I9" s="13">
        <v>21</v>
      </c>
      <c r="K9" s="13">
        <v>37</v>
      </c>
      <c r="M9" s="13">
        <v>2</v>
      </c>
    </row>
    <row r="10" spans="1:13">
      <c r="A10" s="13" t="s">
        <v>19</v>
      </c>
      <c r="B10" s="37" t="s">
        <v>343</v>
      </c>
      <c r="C10" s="13" t="s">
        <v>829</v>
      </c>
      <c r="E10" s="13">
        <v>234</v>
      </c>
      <c r="G10" s="13">
        <v>236</v>
      </c>
      <c r="I10" s="13">
        <v>265</v>
      </c>
      <c r="K10" s="13">
        <v>363</v>
      </c>
      <c r="M10" s="13">
        <v>208</v>
      </c>
    </row>
    <row r="11" spans="1:13">
      <c r="A11" s="13" t="s">
        <v>19</v>
      </c>
      <c r="B11" s="37" t="s">
        <v>343</v>
      </c>
      <c r="C11" s="13" t="s">
        <v>201</v>
      </c>
      <c r="E11" s="13">
        <v>48</v>
      </c>
      <c r="G11" s="13">
        <v>47</v>
      </c>
      <c r="I11" s="13">
        <v>67</v>
      </c>
      <c r="K11" s="13">
        <v>59</v>
      </c>
      <c r="M11" s="13">
        <v>42</v>
      </c>
    </row>
    <row r="12" spans="1:13">
      <c r="A12" s="13" t="s">
        <v>19</v>
      </c>
      <c r="B12" s="37" t="s">
        <v>344</v>
      </c>
      <c r="C12" s="13" t="s">
        <v>829</v>
      </c>
      <c r="E12" s="13">
        <v>953</v>
      </c>
      <c r="G12" s="13">
        <v>246</v>
      </c>
      <c r="I12" s="13">
        <v>13</v>
      </c>
      <c r="K12" s="13">
        <v>53</v>
      </c>
      <c r="M12" s="13">
        <v>120</v>
      </c>
    </row>
    <row r="13" spans="1:13">
      <c r="A13" s="13" t="s">
        <v>19</v>
      </c>
      <c r="B13" s="37" t="s">
        <v>344</v>
      </c>
      <c r="C13" s="13" t="s">
        <v>201</v>
      </c>
      <c r="E13" s="13">
        <v>392</v>
      </c>
      <c r="G13" s="13">
        <v>112</v>
      </c>
      <c r="I13" s="13">
        <v>0</v>
      </c>
      <c r="K13" s="13">
        <v>0</v>
      </c>
      <c r="M13" s="13">
        <v>9</v>
      </c>
    </row>
    <row r="14" spans="1:13">
      <c r="A14" s="13" t="s">
        <v>19</v>
      </c>
      <c r="B14" s="37" t="s">
        <v>345</v>
      </c>
      <c r="C14" s="13" t="s">
        <v>829</v>
      </c>
      <c r="E14" s="57">
        <v>85525</v>
      </c>
      <c r="G14" s="57">
        <v>63858</v>
      </c>
      <c r="I14" s="57">
        <v>64195</v>
      </c>
      <c r="K14" s="57">
        <v>85129</v>
      </c>
      <c r="M14" s="57">
        <v>153150</v>
      </c>
    </row>
    <row r="15" spans="1:13">
      <c r="A15" s="13" t="s">
        <v>19</v>
      </c>
      <c r="B15" s="37" t="s">
        <v>345</v>
      </c>
      <c r="C15" s="13" t="s">
        <v>201</v>
      </c>
      <c r="E15" s="57">
        <v>28199</v>
      </c>
      <c r="G15" s="57">
        <v>24011</v>
      </c>
      <c r="I15" s="57">
        <v>23178</v>
      </c>
      <c r="K15" s="57">
        <v>23533</v>
      </c>
      <c r="M15" s="57">
        <v>31155</v>
      </c>
    </row>
    <row r="16" spans="1:13">
      <c r="A16" s="13" t="s">
        <v>19</v>
      </c>
      <c r="B16" s="37" t="s">
        <v>769</v>
      </c>
      <c r="C16" s="13" t="s">
        <v>829</v>
      </c>
      <c r="E16" s="57">
        <v>15117</v>
      </c>
      <c r="G16" s="57">
        <v>11934</v>
      </c>
      <c r="I16" s="57">
        <v>9011</v>
      </c>
      <c r="K16" s="57">
        <v>14341</v>
      </c>
      <c r="M16" s="57">
        <v>34201</v>
      </c>
    </row>
    <row r="17" spans="1:13">
      <c r="A17" s="13" t="s">
        <v>19</v>
      </c>
      <c r="B17" s="37" t="s">
        <v>769</v>
      </c>
      <c r="C17" s="13" t="s">
        <v>201</v>
      </c>
      <c r="E17" s="57">
        <v>2591</v>
      </c>
      <c r="G17" s="57">
        <v>1935</v>
      </c>
      <c r="I17" s="57">
        <v>1315</v>
      </c>
      <c r="K17" s="57">
        <v>2343</v>
      </c>
      <c r="M17" s="57">
        <v>4004</v>
      </c>
    </row>
    <row r="18" spans="1:13">
      <c r="A18" s="13" t="s">
        <v>19</v>
      </c>
      <c r="B18" s="37" t="s">
        <v>346</v>
      </c>
      <c r="C18" s="13" t="s">
        <v>829</v>
      </c>
      <c r="E18" s="57">
        <v>122222</v>
      </c>
      <c r="G18" s="57">
        <v>102540</v>
      </c>
      <c r="I18" s="57">
        <v>94799</v>
      </c>
      <c r="K18" s="57">
        <v>154124</v>
      </c>
      <c r="M18" s="57">
        <v>121190</v>
      </c>
    </row>
    <row r="19" spans="1:13">
      <c r="A19" s="13" t="s">
        <v>19</v>
      </c>
      <c r="B19" s="37" t="s">
        <v>346</v>
      </c>
      <c r="C19" s="13" t="s">
        <v>201</v>
      </c>
      <c r="E19" s="57">
        <v>25091</v>
      </c>
      <c r="G19" s="57">
        <v>21685</v>
      </c>
      <c r="I19" s="57">
        <v>20114</v>
      </c>
      <c r="K19" s="57">
        <v>22504</v>
      </c>
      <c r="M19" s="57">
        <v>17470</v>
      </c>
    </row>
    <row r="20" spans="1:13">
      <c r="A20" s="13" t="s">
        <v>19</v>
      </c>
      <c r="B20" s="37" t="s">
        <v>347</v>
      </c>
      <c r="C20" s="13" t="s">
        <v>829</v>
      </c>
      <c r="E20" s="13">
        <v>406</v>
      </c>
      <c r="G20" s="13">
        <v>237</v>
      </c>
      <c r="I20" s="13">
        <v>141</v>
      </c>
      <c r="K20" s="13">
        <v>216</v>
      </c>
      <c r="M20" s="13">
        <v>289</v>
      </c>
    </row>
    <row r="21" spans="1:13">
      <c r="A21" s="13" t="s">
        <v>19</v>
      </c>
      <c r="B21" s="37" t="s">
        <v>347</v>
      </c>
      <c r="C21" s="13" t="s">
        <v>201</v>
      </c>
      <c r="E21" s="13">
        <v>52</v>
      </c>
      <c r="G21" s="13">
        <v>33</v>
      </c>
      <c r="I21" s="13">
        <v>18</v>
      </c>
      <c r="K21" s="13">
        <v>22</v>
      </c>
      <c r="M21" s="13">
        <v>23</v>
      </c>
    </row>
    <row r="22" spans="1:13">
      <c r="A22" s="13" t="s">
        <v>19</v>
      </c>
      <c r="B22" s="37" t="s">
        <v>770</v>
      </c>
      <c r="C22" s="13" t="s">
        <v>829</v>
      </c>
      <c r="E22" s="57">
        <v>3103</v>
      </c>
      <c r="G22" s="57">
        <v>2414</v>
      </c>
      <c r="I22" s="57">
        <v>1927</v>
      </c>
      <c r="K22" s="57">
        <v>3611</v>
      </c>
      <c r="M22" s="57">
        <v>3608</v>
      </c>
    </row>
    <row r="23" spans="1:13">
      <c r="A23" s="13" t="s">
        <v>19</v>
      </c>
      <c r="B23" s="37" t="s">
        <v>770</v>
      </c>
      <c r="C23" s="13" t="s">
        <v>201</v>
      </c>
      <c r="E23" s="13">
        <v>502</v>
      </c>
      <c r="G23" s="13">
        <v>439</v>
      </c>
      <c r="I23" s="13">
        <v>387</v>
      </c>
      <c r="K23" s="13">
        <v>529</v>
      </c>
      <c r="M23" s="13">
        <v>425</v>
      </c>
    </row>
    <row r="25" spans="1:13">
      <c r="A25" s="13" t="s">
        <v>20</v>
      </c>
      <c r="B25" s="37" t="s">
        <v>342</v>
      </c>
      <c r="C25" s="13" t="s">
        <v>829</v>
      </c>
      <c r="E25" s="57">
        <v>13977</v>
      </c>
      <c r="G25" s="57">
        <v>10185</v>
      </c>
      <c r="I25" s="57">
        <v>12828</v>
      </c>
      <c r="K25" s="57">
        <v>1748</v>
      </c>
      <c r="M25" s="57">
        <v>3013</v>
      </c>
    </row>
    <row r="26" spans="1:13">
      <c r="A26" s="13" t="s">
        <v>20</v>
      </c>
      <c r="B26" s="37" t="s">
        <v>342</v>
      </c>
      <c r="C26" s="13" t="s">
        <v>201</v>
      </c>
      <c r="E26" s="57">
        <v>4924</v>
      </c>
      <c r="G26" s="57">
        <v>3196</v>
      </c>
      <c r="I26" s="57">
        <v>4030</v>
      </c>
      <c r="K26" s="57">
        <v>1763</v>
      </c>
      <c r="M26" s="57">
        <v>2793</v>
      </c>
    </row>
    <row r="27" spans="1:13">
      <c r="A27" s="13" t="s">
        <v>20</v>
      </c>
      <c r="B27" s="37" t="s">
        <v>343</v>
      </c>
      <c r="C27" s="13" t="s">
        <v>829</v>
      </c>
      <c r="E27" s="57">
        <v>2177</v>
      </c>
      <c r="G27" s="57">
        <v>17509</v>
      </c>
      <c r="I27" s="57">
        <v>2208</v>
      </c>
      <c r="K27" s="13">
        <v>995</v>
      </c>
      <c r="M27" s="13">
        <v>607</v>
      </c>
    </row>
    <row r="28" spans="1:13">
      <c r="A28" s="13" t="s">
        <v>20</v>
      </c>
      <c r="B28" s="37" t="s">
        <v>343</v>
      </c>
      <c r="C28" s="13" t="s">
        <v>201</v>
      </c>
      <c r="E28" s="13">
        <v>350</v>
      </c>
      <c r="G28" s="57">
        <v>4329</v>
      </c>
      <c r="I28" s="13">
        <v>500</v>
      </c>
      <c r="K28" s="13">
        <v>125</v>
      </c>
      <c r="M28" s="13">
        <v>168</v>
      </c>
    </row>
    <row r="29" spans="1:13">
      <c r="A29" s="13" t="s">
        <v>20</v>
      </c>
      <c r="B29" s="37" t="s">
        <v>344</v>
      </c>
      <c r="C29" s="13" t="s">
        <v>829</v>
      </c>
      <c r="E29" s="57">
        <v>10386</v>
      </c>
      <c r="G29" s="57">
        <v>1394</v>
      </c>
      <c r="I29" s="13">
        <v>196</v>
      </c>
      <c r="K29" s="13">
        <v>42</v>
      </c>
      <c r="M29" s="13">
        <v>47</v>
      </c>
    </row>
    <row r="30" spans="1:13">
      <c r="A30" s="13" t="s">
        <v>20</v>
      </c>
      <c r="B30" s="37" t="s">
        <v>344</v>
      </c>
      <c r="C30" s="13" t="s">
        <v>201</v>
      </c>
      <c r="E30" s="57">
        <v>2442</v>
      </c>
      <c r="G30" s="13">
        <v>291</v>
      </c>
      <c r="I30" s="13">
        <v>44</v>
      </c>
      <c r="K30" s="13">
        <v>8</v>
      </c>
      <c r="M30" s="13">
        <v>7</v>
      </c>
    </row>
    <row r="31" spans="1:13">
      <c r="A31" s="13" t="s">
        <v>20</v>
      </c>
      <c r="B31" s="37" t="s">
        <v>345</v>
      </c>
      <c r="C31" s="13" t="s">
        <v>829</v>
      </c>
      <c r="E31" s="57">
        <v>756078</v>
      </c>
      <c r="G31" s="57">
        <v>787325</v>
      </c>
      <c r="I31" s="57">
        <v>691589</v>
      </c>
      <c r="K31" s="57">
        <v>1203474</v>
      </c>
      <c r="M31" s="57">
        <v>1245311</v>
      </c>
    </row>
    <row r="32" spans="1:13">
      <c r="A32" s="13" t="s">
        <v>20</v>
      </c>
      <c r="B32" s="37" t="s">
        <v>345</v>
      </c>
      <c r="C32" s="13" t="s">
        <v>201</v>
      </c>
      <c r="E32" s="57">
        <v>261560</v>
      </c>
      <c r="G32" s="57">
        <v>341124</v>
      </c>
      <c r="I32" s="57">
        <v>222899</v>
      </c>
      <c r="K32" s="57">
        <v>264003</v>
      </c>
      <c r="M32" s="57">
        <v>252734</v>
      </c>
    </row>
    <row r="33" spans="1:13">
      <c r="A33" s="13" t="s">
        <v>20</v>
      </c>
      <c r="B33" s="37" t="s">
        <v>769</v>
      </c>
      <c r="C33" s="13" t="s">
        <v>829</v>
      </c>
      <c r="E33" s="57">
        <v>15009</v>
      </c>
      <c r="G33" s="57">
        <v>7765</v>
      </c>
      <c r="I33" s="57">
        <v>8149</v>
      </c>
      <c r="K33" s="57">
        <v>19599</v>
      </c>
      <c r="M33" s="57">
        <v>30056</v>
      </c>
    </row>
    <row r="34" spans="1:13">
      <c r="A34" s="13" t="s">
        <v>20</v>
      </c>
      <c r="B34" s="37" t="s">
        <v>769</v>
      </c>
      <c r="C34" s="13" t="s">
        <v>201</v>
      </c>
      <c r="E34" s="57">
        <v>5303</v>
      </c>
      <c r="G34" s="57">
        <v>2550</v>
      </c>
      <c r="I34" s="57">
        <v>3052</v>
      </c>
      <c r="K34" s="57">
        <v>3133</v>
      </c>
      <c r="M34" s="57">
        <v>4051</v>
      </c>
    </row>
    <row r="35" spans="1:13">
      <c r="A35" s="13" t="s">
        <v>20</v>
      </c>
      <c r="B35" s="37" t="s">
        <v>346</v>
      </c>
      <c r="C35" s="13" t="s">
        <v>829</v>
      </c>
      <c r="E35" s="57">
        <v>69582</v>
      </c>
      <c r="G35" s="57">
        <v>9950</v>
      </c>
      <c r="I35" s="57">
        <v>5276</v>
      </c>
      <c r="K35" s="57">
        <v>8364</v>
      </c>
      <c r="M35" s="57">
        <v>8144</v>
      </c>
    </row>
    <row r="36" spans="1:13">
      <c r="A36" s="13" t="s">
        <v>20</v>
      </c>
      <c r="B36" s="37" t="s">
        <v>346</v>
      </c>
      <c r="C36" s="13" t="s">
        <v>201</v>
      </c>
      <c r="E36" s="57">
        <v>13043</v>
      </c>
      <c r="G36" s="57">
        <v>2373</v>
      </c>
      <c r="I36" s="57">
        <v>1275</v>
      </c>
      <c r="K36" s="57">
        <v>1336</v>
      </c>
      <c r="M36" s="57">
        <v>1378</v>
      </c>
    </row>
    <row r="37" spans="1:13">
      <c r="A37" s="13" t="s">
        <v>20</v>
      </c>
      <c r="B37" s="37" t="s">
        <v>347</v>
      </c>
      <c r="C37" s="13" t="s">
        <v>829</v>
      </c>
      <c r="E37" s="57">
        <v>3890</v>
      </c>
      <c r="G37" s="57">
        <v>4354</v>
      </c>
      <c r="I37" s="57">
        <v>3694</v>
      </c>
      <c r="K37" s="57">
        <v>6066</v>
      </c>
      <c r="M37" s="57">
        <v>7916</v>
      </c>
    </row>
    <row r="38" spans="1:13">
      <c r="A38" s="13" t="s">
        <v>20</v>
      </c>
      <c r="B38" s="37" t="s">
        <v>347</v>
      </c>
      <c r="C38" s="13" t="s">
        <v>201</v>
      </c>
      <c r="E38" s="13">
        <v>215</v>
      </c>
      <c r="G38" s="13">
        <v>302</v>
      </c>
      <c r="I38" s="13">
        <v>186</v>
      </c>
      <c r="K38" s="13">
        <v>536</v>
      </c>
      <c r="M38" s="13">
        <v>261</v>
      </c>
    </row>
    <row r="39" spans="1:13">
      <c r="A39" s="13" t="s">
        <v>20</v>
      </c>
      <c r="B39" s="37" t="s">
        <v>770</v>
      </c>
      <c r="C39" s="13" t="s">
        <v>829</v>
      </c>
      <c r="E39" s="57">
        <v>26140</v>
      </c>
      <c r="G39" s="57">
        <v>23516</v>
      </c>
      <c r="I39" s="57">
        <v>24459</v>
      </c>
      <c r="K39" s="57">
        <v>3094</v>
      </c>
      <c r="M39" s="57">
        <v>1857</v>
      </c>
    </row>
    <row r="40" spans="1:13">
      <c r="A40" s="13" t="s">
        <v>20</v>
      </c>
      <c r="B40" s="37" t="s">
        <v>770</v>
      </c>
      <c r="C40" s="13" t="s">
        <v>201</v>
      </c>
      <c r="E40" s="57">
        <v>5742</v>
      </c>
      <c r="G40" s="57">
        <v>5289</v>
      </c>
      <c r="I40" s="57">
        <v>5965</v>
      </c>
      <c r="K40" s="13">
        <v>364</v>
      </c>
      <c r="M40" s="13">
        <v>272</v>
      </c>
    </row>
    <row r="41" spans="1:13">
      <c r="A41" s="35"/>
      <c r="B41" s="59"/>
      <c r="C41" s="35"/>
      <c r="D41" s="35"/>
      <c r="E41" s="66"/>
      <c r="F41" s="35"/>
      <c r="G41" s="66"/>
      <c r="H41" s="35"/>
      <c r="I41" s="66"/>
      <c r="J41" s="35"/>
      <c r="K41" s="35"/>
      <c r="L41" s="35"/>
      <c r="M41" s="35"/>
    </row>
    <row r="43" spans="1:13">
      <c r="A43" s="13" t="s">
        <v>14</v>
      </c>
      <c r="B43" s="37" t="s">
        <v>15</v>
      </c>
    </row>
    <row r="44" spans="1:13">
      <c r="A44" s="13" t="s">
        <v>214</v>
      </c>
      <c r="B44" s="103" t="s">
        <v>348</v>
      </c>
      <c r="C44" s="103"/>
      <c r="D44" s="103"/>
      <c r="E44" s="103"/>
      <c r="F44" s="103"/>
      <c r="G44" s="103"/>
      <c r="H44" s="103"/>
      <c r="I44" s="103"/>
      <c r="J44" s="103"/>
      <c r="K44" s="103"/>
    </row>
    <row r="45" spans="1:13">
      <c r="A45" s="13" t="s">
        <v>215</v>
      </c>
      <c r="B45" s="37" t="s">
        <v>297</v>
      </c>
    </row>
    <row r="48" spans="1:13">
      <c r="A48" s="46" t="str">
        <f>HYPERLINK("[UKMY 2023 PrintableV1.1 12_09_24.xlsx]Contents!A1","Return to contents page")</f>
        <v>Return to contents page</v>
      </c>
    </row>
    <row r="64" spans="5:5">
      <c r="E64" s="47"/>
    </row>
  </sheetData>
  <sortState xmlns:xlrd2="http://schemas.microsoft.com/office/spreadsheetml/2017/richdata2" ref="A3:M41">
    <sortCondition ref="A3:A41"/>
    <sortCondition ref="B3:B41"/>
  </sortState>
  <mergeCells count="1">
    <mergeCell ref="B44:K44"/>
  </mergeCell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6948A-FCF5-409B-98E1-9757E93B96EC}">
  <dimension ref="A1:N64"/>
  <sheetViews>
    <sheetView view="pageBreakPreview" zoomScaleNormal="100" zoomScaleSheetLayoutView="100" workbookViewId="0">
      <selection activeCell="C6" sqref="C6"/>
    </sheetView>
  </sheetViews>
  <sheetFormatPr defaultColWidth="9.1796875" defaultRowHeight="14"/>
  <cols>
    <col min="1" max="1" width="13" style="13" customWidth="1"/>
    <col min="2" max="2" width="16.54296875" style="37" customWidth="1"/>
    <col min="3" max="3" width="13.54296875" style="13" bestFit="1" customWidth="1"/>
    <col min="4" max="4" width="2.54296875" style="13" customWidth="1"/>
    <col min="5" max="5" width="12.453125" style="13" bestFit="1" customWidth="1"/>
    <col min="6" max="6" width="5.26953125" style="13" customWidth="1"/>
    <col min="7" max="7" width="12.453125" style="13" bestFit="1" customWidth="1"/>
    <col min="8" max="8" width="5.1796875" style="13" customWidth="1"/>
    <col min="9" max="9" width="12.26953125" style="13" bestFit="1" customWidth="1"/>
    <col min="10" max="10" width="5.54296875" style="13" customWidth="1"/>
    <col min="11" max="11" width="12.453125" style="13" bestFit="1" customWidth="1"/>
    <col min="12" max="12" width="5.81640625" style="13" customWidth="1"/>
    <col min="13" max="13" width="12.453125" style="13" bestFit="1" customWidth="1"/>
    <col min="14" max="16384" width="9.1796875" style="13"/>
  </cols>
  <sheetData>
    <row r="1" spans="1:14" ht="15.5">
      <c r="A1" s="51" t="s">
        <v>349</v>
      </c>
    </row>
    <row r="2" spans="1:14">
      <c r="A2" s="23" t="s">
        <v>670</v>
      </c>
      <c r="B2" s="30" t="s">
        <v>0</v>
      </c>
      <c r="C2" s="23" t="s">
        <v>669</v>
      </c>
      <c r="D2" s="23" t="s">
        <v>1</v>
      </c>
      <c r="E2" s="23">
        <v>2018</v>
      </c>
      <c r="F2" s="23" t="s">
        <v>1</v>
      </c>
      <c r="G2" s="23">
        <v>2019</v>
      </c>
      <c r="H2" s="23" t="s">
        <v>1</v>
      </c>
      <c r="I2" s="23">
        <v>2020</v>
      </c>
      <c r="J2" s="23" t="s">
        <v>1</v>
      </c>
      <c r="K2" s="23">
        <v>2021</v>
      </c>
      <c r="L2" s="23" t="s">
        <v>1</v>
      </c>
      <c r="M2" s="23">
        <v>2022</v>
      </c>
    </row>
    <row r="3" spans="1:14" ht="38">
      <c r="A3" s="16" t="s">
        <v>38</v>
      </c>
      <c r="B3" s="15" t="s">
        <v>208</v>
      </c>
      <c r="C3" s="16" t="s">
        <v>201</v>
      </c>
      <c r="D3" s="16" t="s">
        <v>209</v>
      </c>
      <c r="E3" s="55">
        <v>129998000</v>
      </c>
      <c r="F3" s="55" t="s">
        <v>207</v>
      </c>
      <c r="G3" s="55">
        <v>129636000</v>
      </c>
      <c r="H3" s="55" t="s">
        <v>207</v>
      </c>
      <c r="I3" s="55">
        <v>118146000</v>
      </c>
      <c r="J3" s="55" t="s">
        <v>207</v>
      </c>
      <c r="K3" s="55">
        <v>137124000</v>
      </c>
      <c r="L3" s="55" t="s">
        <v>207</v>
      </c>
      <c r="M3" s="55">
        <v>126474000</v>
      </c>
    </row>
    <row r="4" spans="1:14">
      <c r="A4" s="16"/>
      <c r="B4" s="15"/>
      <c r="C4" s="16"/>
      <c r="D4" s="16"/>
      <c r="E4" s="55"/>
      <c r="F4" s="55"/>
      <c r="G4" s="55"/>
      <c r="H4" s="55"/>
      <c r="I4" s="55"/>
      <c r="J4" s="55"/>
      <c r="K4" s="55"/>
      <c r="L4" s="55"/>
      <c r="M4" s="55"/>
    </row>
    <row r="5" spans="1:14" ht="38">
      <c r="A5" s="16" t="s">
        <v>19</v>
      </c>
      <c r="B5" s="15" t="s">
        <v>208</v>
      </c>
      <c r="C5" s="16" t="s">
        <v>829</v>
      </c>
      <c r="D5" s="16" t="s">
        <v>212</v>
      </c>
      <c r="E5" s="55">
        <v>17231</v>
      </c>
      <c r="F5" s="55" t="s">
        <v>212</v>
      </c>
      <c r="G5" s="55">
        <v>14270</v>
      </c>
      <c r="H5" s="55" t="s">
        <v>212</v>
      </c>
      <c r="I5" s="55">
        <v>12547</v>
      </c>
      <c r="J5" s="55" t="s">
        <v>212</v>
      </c>
      <c r="K5" s="55">
        <v>36695</v>
      </c>
      <c r="L5" s="55" t="s">
        <v>212</v>
      </c>
      <c r="M5" s="55">
        <v>27719</v>
      </c>
    </row>
    <row r="6" spans="1:14" ht="38">
      <c r="A6" s="16" t="s">
        <v>19</v>
      </c>
      <c r="B6" s="15" t="s">
        <v>208</v>
      </c>
      <c r="C6" s="16" t="s">
        <v>201</v>
      </c>
      <c r="D6" s="16" t="s">
        <v>212</v>
      </c>
      <c r="E6" s="55">
        <v>270077</v>
      </c>
      <c r="F6" s="55" t="s">
        <v>212</v>
      </c>
      <c r="G6" s="55">
        <v>209381</v>
      </c>
      <c r="H6" s="55" t="s">
        <v>212</v>
      </c>
      <c r="I6" s="55">
        <v>216573</v>
      </c>
      <c r="J6" s="55" t="s">
        <v>212</v>
      </c>
      <c r="K6" s="55">
        <v>697653</v>
      </c>
      <c r="L6" s="55" t="s">
        <v>212</v>
      </c>
      <c r="M6" s="55">
        <v>548630</v>
      </c>
    </row>
    <row r="7" spans="1:14">
      <c r="A7" s="16"/>
      <c r="B7" s="15"/>
      <c r="C7" s="16"/>
      <c r="D7" s="16"/>
      <c r="E7" s="55"/>
      <c r="F7" s="55"/>
      <c r="G7" s="55"/>
      <c r="H7" s="55"/>
      <c r="I7" s="55"/>
      <c r="J7" s="55"/>
      <c r="K7" s="55"/>
      <c r="L7" s="55"/>
      <c r="M7" s="55"/>
    </row>
    <row r="8" spans="1:14" ht="38">
      <c r="A8" s="16" t="s">
        <v>20</v>
      </c>
      <c r="B8" s="15" t="s">
        <v>208</v>
      </c>
      <c r="C8" s="16" t="s">
        <v>829</v>
      </c>
      <c r="D8" s="16"/>
      <c r="E8" s="55">
        <v>38266</v>
      </c>
      <c r="F8" s="55"/>
      <c r="G8" s="55">
        <v>36256</v>
      </c>
      <c r="H8" s="55"/>
      <c r="I8" s="55">
        <v>34050</v>
      </c>
      <c r="J8" s="55"/>
      <c r="K8" s="55">
        <v>36025</v>
      </c>
      <c r="L8" s="55"/>
      <c r="M8" s="55">
        <v>42364</v>
      </c>
    </row>
    <row r="9" spans="1:14" ht="38">
      <c r="A9" s="16" t="s">
        <v>20</v>
      </c>
      <c r="B9" s="15" t="s">
        <v>208</v>
      </c>
      <c r="C9" s="16" t="s">
        <v>201</v>
      </c>
      <c r="D9" s="16"/>
      <c r="E9" s="55">
        <v>4419084</v>
      </c>
      <c r="F9" s="55"/>
      <c r="G9" s="55">
        <v>3464967</v>
      </c>
      <c r="H9" s="55"/>
      <c r="I9" s="55">
        <v>3808212</v>
      </c>
      <c r="J9" s="55"/>
      <c r="K9" s="55">
        <v>3416197</v>
      </c>
      <c r="L9" s="55"/>
      <c r="M9" s="55">
        <v>3221531</v>
      </c>
    </row>
    <row r="10" spans="1:14">
      <c r="A10" s="26"/>
      <c r="B10" s="34"/>
      <c r="C10" s="26"/>
      <c r="D10" s="26"/>
      <c r="E10" s="56"/>
      <c r="F10" s="56"/>
      <c r="G10" s="56"/>
      <c r="H10" s="56"/>
      <c r="I10" s="56"/>
      <c r="J10" s="56"/>
      <c r="K10" s="56"/>
      <c r="L10" s="56"/>
      <c r="M10" s="56"/>
    </row>
    <row r="11" spans="1:14">
      <c r="A11" s="16"/>
      <c r="B11" s="15"/>
      <c r="C11" s="16"/>
      <c r="D11" s="16"/>
      <c r="E11" s="16"/>
      <c r="F11" s="39"/>
      <c r="G11" s="39"/>
      <c r="H11" s="39"/>
      <c r="I11" s="39"/>
      <c r="J11" s="39"/>
      <c r="K11" s="39"/>
      <c r="L11" s="39"/>
      <c r="M11" s="39"/>
      <c r="N11" s="43"/>
    </row>
    <row r="12" spans="1:14">
      <c r="A12" s="16" t="s">
        <v>14</v>
      </c>
      <c r="B12" s="15" t="s">
        <v>15</v>
      </c>
      <c r="C12" s="16"/>
      <c r="D12" s="16"/>
      <c r="E12" s="16"/>
      <c r="F12" s="39"/>
      <c r="G12" s="39"/>
      <c r="H12" s="39"/>
      <c r="I12" s="39"/>
      <c r="J12" s="39"/>
      <c r="K12" s="39"/>
      <c r="L12" s="39"/>
      <c r="M12" s="39"/>
      <c r="N12" s="43"/>
    </row>
    <row r="13" spans="1:14" ht="18" customHeight="1">
      <c r="A13" s="16" t="s">
        <v>215</v>
      </c>
      <c r="B13" s="105" t="s">
        <v>677</v>
      </c>
      <c r="C13" s="105"/>
      <c r="D13" s="105"/>
      <c r="E13" s="105"/>
      <c r="F13" s="105"/>
      <c r="G13" s="105"/>
      <c r="H13" s="105"/>
      <c r="I13" s="105"/>
      <c r="J13" s="105"/>
      <c r="K13" s="105"/>
      <c r="L13" s="105"/>
      <c r="M13" s="39"/>
      <c r="N13" s="43"/>
    </row>
    <row r="14" spans="1:14" ht="34.5" customHeight="1">
      <c r="A14" s="16" t="s">
        <v>216</v>
      </c>
      <c r="B14" s="105" t="s">
        <v>678</v>
      </c>
      <c r="C14" s="105"/>
      <c r="D14" s="105"/>
      <c r="E14" s="105"/>
      <c r="F14" s="105"/>
      <c r="G14" s="105"/>
      <c r="H14" s="105"/>
      <c r="I14" s="105"/>
      <c r="J14" s="105"/>
      <c r="K14" s="105"/>
      <c r="L14" s="105"/>
      <c r="M14" s="39"/>
      <c r="N14" s="43"/>
    </row>
    <row r="15" spans="1:14" ht="15" customHeight="1">
      <c r="A15" s="16" t="s">
        <v>218</v>
      </c>
      <c r="B15" s="105" t="s">
        <v>568</v>
      </c>
      <c r="C15" s="105"/>
      <c r="D15" s="105"/>
      <c r="E15" s="105"/>
      <c r="F15" s="105"/>
      <c r="G15" s="105"/>
      <c r="H15" s="105"/>
      <c r="I15" s="105"/>
      <c r="J15" s="105"/>
      <c r="K15" s="105"/>
      <c r="L15" s="105"/>
      <c r="M15" s="39"/>
      <c r="N15" s="43"/>
    </row>
    <row r="16" spans="1:14">
      <c r="A16" s="16"/>
      <c r="B16" s="105"/>
      <c r="C16" s="105"/>
      <c r="D16" s="105"/>
      <c r="E16" s="105"/>
      <c r="F16" s="105"/>
      <c r="G16" s="105"/>
      <c r="H16" s="105"/>
      <c r="I16" s="105"/>
      <c r="J16" s="105"/>
      <c r="K16" s="105"/>
      <c r="L16" s="105"/>
      <c r="M16" s="39"/>
      <c r="N16" s="43"/>
    </row>
    <row r="17" spans="1:14">
      <c r="A17" s="16"/>
      <c r="B17" s="15"/>
      <c r="C17" s="16"/>
      <c r="D17" s="16"/>
      <c r="E17" s="16"/>
      <c r="F17" s="39"/>
      <c r="G17" s="39"/>
      <c r="H17" s="39"/>
      <c r="I17" s="39"/>
      <c r="J17" s="39"/>
      <c r="K17" s="39"/>
      <c r="L17" s="39"/>
      <c r="M17" s="39"/>
      <c r="N17" s="43"/>
    </row>
    <row r="18" spans="1:14">
      <c r="A18" s="28" t="str">
        <f>HYPERLINK("[UKMY 2023 PrintableV1.1 12_09_24.xlsx]Contents!A1","Return to contents page")</f>
        <v>Return to contents page</v>
      </c>
      <c r="B18" s="15"/>
      <c r="C18" s="16"/>
      <c r="D18" s="16"/>
      <c r="E18" s="16"/>
      <c r="F18" s="39"/>
      <c r="G18" s="39"/>
      <c r="H18" s="39"/>
      <c r="I18" s="39"/>
      <c r="J18" s="39"/>
      <c r="K18" s="39"/>
      <c r="L18" s="39"/>
      <c r="M18" s="39"/>
      <c r="N18" s="43"/>
    </row>
    <row r="64" spans="5:5">
      <c r="E64" s="47"/>
    </row>
  </sheetData>
  <mergeCells count="4">
    <mergeCell ref="B13:L13"/>
    <mergeCell ref="B14:L14"/>
    <mergeCell ref="B15:L15"/>
    <mergeCell ref="B16:L16"/>
  </mergeCell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BFD1-895E-412F-A5A6-6C4756726C16}">
  <dimension ref="A1:Y64"/>
  <sheetViews>
    <sheetView view="pageBreakPreview" zoomScaleNormal="100" zoomScaleSheetLayoutView="100" workbookViewId="0">
      <selection activeCell="T11" sqref="T11"/>
    </sheetView>
  </sheetViews>
  <sheetFormatPr defaultColWidth="9.1796875" defaultRowHeight="14"/>
  <cols>
    <col min="1" max="1" width="6.1796875" style="63" customWidth="1"/>
    <col min="2" max="2" width="2.1796875" style="13" bestFit="1" customWidth="1"/>
    <col min="3" max="3" width="7.54296875" style="13" bestFit="1" customWidth="1"/>
    <col min="4" max="4" width="2.1796875" style="13" bestFit="1" customWidth="1"/>
    <col min="5" max="5" width="7.54296875" style="13" bestFit="1" customWidth="1"/>
    <col min="6" max="6" width="2.1796875" style="13" bestFit="1" customWidth="1"/>
    <col min="7" max="7" width="8.7265625" style="13" bestFit="1" customWidth="1"/>
    <col min="8" max="8" width="2.1796875" style="13" bestFit="1" customWidth="1"/>
    <col min="9" max="9" width="7.54296875" style="13" bestFit="1" customWidth="1"/>
    <col min="10" max="10" width="2.1796875" style="13" bestFit="1" customWidth="1"/>
    <col min="11" max="11" width="8.7265625" style="13" bestFit="1" customWidth="1"/>
    <col min="12" max="12" width="2.1796875" style="13" bestFit="1" customWidth="1"/>
    <col min="13" max="13" width="5.81640625" style="13" bestFit="1" customWidth="1"/>
    <col min="14" max="14" width="2.1796875" style="13" bestFit="1" customWidth="1"/>
    <col min="15" max="15" width="7.54296875" style="13" bestFit="1" customWidth="1"/>
    <col min="16" max="16" width="2.1796875" style="13" bestFit="1" customWidth="1"/>
    <col min="17" max="17" width="8.7265625" style="13" bestFit="1" customWidth="1"/>
    <col min="18" max="18" width="2.1796875" style="13" bestFit="1" customWidth="1"/>
    <col min="19" max="19" width="8.7265625" style="13" bestFit="1" customWidth="1"/>
    <col min="20" max="20" width="2.1796875" style="13" bestFit="1" customWidth="1"/>
    <col min="21" max="21" width="8.7265625" style="13" bestFit="1" customWidth="1"/>
    <col min="22" max="22" width="2.1796875" style="13" bestFit="1" customWidth="1"/>
    <col min="23" max="23" width="8.7265625" style="13" bestFit="1" customWidth="1"/>
    <col min="24" max="24" width="2.1796875" style="13" bestFit="1" customWidth="1"/>
    <col min="25" max="25" width="10.54296875" style="13" customWidth="1"/>
    <col min="26" max="16384" width="9.1796875" style="13"/>
  </cols>
  <sheetData>
    <row r="1" spans="1:25" ht="15.5">
      <c r="A1" s="61" t="s">
        <v>835</v>
      </c>
      <c r="Y1" s="41" t="s">
        <v>201</v>
      </c>
    </row>
    <row r="2" spans="1:25" s="37" customFormat="1" ht="91.5" customHeight="1">
      <c r="A2" s="62" t="s">
        <v>309</v>
      </c>
      <c r="B2" s="58" t="s">
        <v>1</v>
      </c>
      <c r="C2" s="67" t="s">
        <v>350</v>
      </c>
      <c r="D2" s="58" t="s">
        <v>1</v>
      </c>
      <c r="E2" s="67" t="s">
        <v>705</v>
      </c>
      <c r="F2" s="58" t="s">
        <v>1</v>
      </c>
      <c r="G2" s="67" t="s">
        <v>706</v>
      </c>
      <c r="H2" s="58" t="s">
        <v>1</v>
      </c>
      <c r="I2" s="67" t="s">
        <v>198</v>
      </c>
      <c r="J2" s="58" t="s">
        <v>1</v>
      </c>
      <c r="K2" s="67" t="s">
        <v>155</v>
      </c>
      <c r="L2" s="58" t="s">
        <v>1</v>
      </c>
      <c r="M2" s="67" t="s">
        <v>197</v>
      </c>
      <c r="N2" s="58" t="s">
        <v>1</v>
      </c>
      <c r="O2" s="67" t="s">
        <v>707</v>
      </c>
      <c r="P2" s="58" t="s">
        <v>1</v>
      </c>
      <c r="Q2" s="67" t="s">
        <v>708</v>
      </c>
      <c r="R2" s="58" t="s">
        <v>1</v>
      </c>
      <c r="S2" s="67" t="s">
        <v>351</v>
      </c>
      <c r="T2" s="58" t="s">
        <v>1</v>
      </c>
      <c r="U2" s="67" t="s">
        <v>157</v>
      </c>
      <c r="V2" s="58" t="s">
        <v>1</v>
      </c>
      <c r="W2" s="67" t="s">
        <v>158</v>
      </c>
      <c r="X2" s="58" t="s">
        <v>1</v>
      </c>
      <c r="Y2" s="67" t="s">
        <v>768</v>
      </c>
    </row>
    <row r="3" spans="1:25">
      <c r="A3" s="63">
        <v>2022</v>
      </c>
      <c r="C3" s="43">
        <v>5087.2</v>
      </c>
      <c r="D3" s="43"/>
      <c r="E3" s="43">
        <v>7235.3</v>
      </c>
      <c r="F3" s="43"/>
      <c r="G3" s="43">
        <v>9193</v>
      </c>
      <c r="H3" s="43"/>
      <c r="I3" s="43">
        <v>4511.7</v>
      </c>
      <c r="J3" s="43"/>
      <c r="K3" s="43">
        <v>30611.599999999999</v>
      </c>
      <c r="L3" s="43"/>
      <c r="M3" s="43"/>
      <c r="N3" s="43"/>
      <c r="O3" s="43"/>
      <c r="P3" s="43"/>
      <c r="Q3" s="43">
        <v>25457.4</v>
      </c>
      <c r="R3" s="43"/>
      <c r="S3" s="43">
        <v>82096</v>
      </c>
      <c r="T3" s="43"/>
      <c r="U3" s="43">
        <v>12721.4</v>
      </c>
      <c r="V3" s="43"/>
      <c r="W3" s="43">
        <v>21347</v>
      </c>
      <c r="X3" s="43"/>
      <c r="Y3" s="43">
        <v>116164.6</v>
      </c>
    </row>
    <row r="4" spans="1:25">
      <c r="A4" s="63">
        <v>2021</v>
      </c>
      <c r="C4" s="43">
        <v>5519.2</v>
      </c>
      <c r="D4" s="43"/>
      <c r="E4" s="43">
        <v>8132.6</v>
      </c>
      <c r="F4" s="43"/>
      <c r="G4" s="43">
        <v>10634.1</v>
      </c>
      <c r="H4" s="43"/>
      <c r="I4" s="43">
        <v>4924.7</v>
      </c>
      <c r="J4" s="43"/>
      <c r="K4" s="43">
        <v>31396.799999999999</v>
      </c>
      <c r="L4" s="43"/>
      <c r="M4" s="43"/>
      <c r="N4" s="43"/>
      <c r="O4" s="43"/>
      <c r="P4" s="43"/>
      <c r="Q4" s="43">
        <v>27713.9</v>
      </c>
      <c r="R4" s="43"/>
      <c r="S4" s="43">
        <v>88321</v>
      </c>
      <c r="T4" s="43"/>
      <c r="U4" s="43">
        <v>14072.1</v>
      </c>
      <c r="V4" s="43"/>
      <c r="W4" s="43">
        <v>23480.1</v>
      </c>
      <c r="X4" s="43"/>
      <c r="Y4" s="43">
        <v>125873.5</v>
      </c>
    </row>
    <row r="5" spans="1:25">
      <c r="A5" s="63">
        <v>2020</v>
      </c>
      <c r="C5" s="43">
        <v>4987.1000000000004</v>
      </c>
      <c r="D5" s="43"/>
      <c r="E5" s="43">
        <v>7235.8</v>
      </c>
      <c r="F5" s="43"/>
      <c r="G5" s="43">
        <v>8855.7000000000007</v>
      </c>
      <c r="H5" s="43"/>
      <c r="I5" s="43">
        <v>4488.8999999999996</v>
      </c>
      <c r="J5" s="43"/>
      <c r="K5" s="43">
        <v>26559</v>
      </c>
      <c r="L5" s="43"/>
      <c r="M5" s="43"/>
      <c r="N5" s="43"/>
      <c r="O5" s="43"/>
      <c r="P5" s="43"/>
      <c r="Q5" s="43">
        <v>24150.7</v>
      </c>
      <c r="R5" s="43"/>
      <c r="S5" s="43">
        <v>76277.2</v>
      </c>
      <c r="T5" s="43"/>
      <c r="U5" s="43">
        <v>12448.1</v>
      </c>
      <c r="V5" s="43"/>
      <c r="W5" s="43">
        <v>19104.5</v>
      </c>
      <c r="X5" s="43"/>
      <c r="Y5" s="43">
        <v>107829.8</v>
      </c>
    </row>
    <row r="6" spans="1:25">
      <c r="A6" s="63">
        <v>2019</v>
      </c>
      <c r="C6" s="43">
        <v>5468</v>
      </c>
      <c r="D6" s="43"/>
      <c r="E6" s="43">
        <v>6466</v>
      </c>
      <c r="F6" s="43"/>
      <c r="G6" s="43">
        <v>9546</v>
      </c>
      <c r="H6" s="43"/>
      <c r="I6" s="43">
        <v>4919</v>
      </c>
      <c r="J6" s="43"/>
      <c r="K6" s="43">
        <v>29164</v>
      </c>
      <c r="L6" s="43"/>
      <c r="M6" s="43">
        <v>104</v>
      </c>
      <c r="N6" s="43"/>
      <c r="O6" s="43">
        <v>2026</v>
      </c>
      <c r="P6" s="43"/>
      <c r="Q6" s="43">
        <v>25321</v>
      </c>
      <c r="R6" s="43"/>
      <c r="S6" s="43">
        <v>83014</v>
      </c>
      <c r="T6" s="43"/>
      <c r="U6" s="43">
        <v>12832</v>
      </c>
      <c r="V6" s="43"/>
      <c r="W6" s="43">
        <v>23408.7</v>
      </c>
      <c r="X6" s="43"/>
      <c r="Y6" s="43">
        <v>119254.7</v>
      </c>
    </row>
    <row r="7" spans="1:25">
      <c r="A7" s="63">
        <v>2018</v>
      </c>
      <c r="C7" s="43">
        <v>5772</v>
      </c>
      <c r="D7" s="43"/>
      <c r="E7" s="43">
        <v>6203</v>
      </c>
      <c r="F7" s="43"/>
      <c r="G7" s="43">
        <v>11571</v>
      </c>
      <c r="H7" s="43"/>
      <c r="I7" s="43">
        <v>4693</v>
      </c>
      <c r="J7" s="43"/>
      <c r="K7" s="43">
        <v>27083</v>
      </c>
      <c r="L7" s="43"/>
      <c r="M7" s="43"/>
      <c r="N7" s="43"/>
      <c r="O7" s="43"/>
      <c r="P7" s="43"/>
      <c r="Q7" s="43">
        <v>26975</v>
      </c>
      <c r="R7" s="43"/>
      <c r="S7" s="43">
        <v>82296</v>
      </c>
      <c r="T7" s="43"/>
      <c r="U7" s="43">
        <v>12711</v>
      </c>
      <c r="V7" s="43"/>
      <c r="W7" s="43">
        <v>22331</v>
      </c>
      <c r="X7" s="43"/>
      <c r="Y7" s="43">
        <v>117339</v>
      </c>
    </row>
    <row r="8" spans="1:25">
      <c r="A8" s="64"/>
      <c r="B8" s="35"/>
      <c r="C8" s="35"/>
      <c r="D8" s="35"/>
      <c r="E8" s="35"/>
      <c r="F8" s="35"/>
      <c r="G8" s="35"/>
      <c r="H8" s="35"/>
      <c r="I8" s="35"/>
      <c r="J8" s="35"/>
      <c r="K8" s="35"/>
      <c r="L8" s="35"/>
      <c r="M8" s="35"/>
      <c r="N8" s="35"/>
      <c r="O8" s="35"/>
      <c r="P8" s="35"/>
      <c r="Q8" s="35"/>
      <c r="R8" s="35"/>
      <c r="S8" s="35"/>
      <c r="T8" s="35"/>
      <c r="U8" s="35"/>
      <c r="V8" s="35"/>
      <c r="W8" s="35"/>
      <c r="X8" s="35"/>
      <c r="Y8" s="35"/>
    </row>
    <row r="10" spans="1:25" ht="33" customHeight="1">
      <c r="A10" s="103" t="s">
        <v>789</v>
      </c>
      <c r="B10" s="103"/>
      <c r="C10" s="103"/>
      <c r="D10" s="103"/>
      <c r="E10" s="103"/>
      <c r="F10" s="103"/>
      <c r="G10" s="103"/>
      <c r="H10" s="103"/>
      <c r="I10" s="103"/>
      <c r="J10" s="103"/>
      <c r="K10" s="103"/>
      <c r="L10" s="103"/>
      <c r="M10" s="103"/>
      <c r="N10" s="103"/>
      <c r="O10" s="103"/>
      <c r="P10" s="103"/>
      <c r="Q10" s="103"/>
      <c r="R10" s="103"/>
      <c r="S10" s="103"/>
      <c r="T10" s="103"/>
      <c r="U10" s="103"/>
      <c r="V10" s="103"/>
      <c r="W10" s="103"/>
    </row>
    <row r="13" spans="1:25">
      <c r="A13" s="46" t="str">
        <f>HYPERLINK("[UKMY 2023 PrintableV1.1 12_09_24.xlsx]Contents!A1","Return to contents page")</f>
        <v>Return to contents page</v>
      </c>
    </row>
    <row r="64" spans="5:5">
      <c r="E64" s="47"/>
    </row>
  </sheetData>
  <mergeCells count="1">
    <mergeCell ref="A10:W10"/>
  </mergeCell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929A-EC20-4CD0-8B36-A07D83918590}">
  <dimension ref="A1:AC63"/>
  <sheetViews>
    <sheetView view="pageBreakPreview" zoomScaleNormal="100" zoomScaleSheetLayoutView="100" workbookViewId="0">
      <selection activeCell="B27" sqref="B27:L27"/>
    </sheetView>
  </sheetViews>
  <sheetFormatPr defaultColWidth="9.1796875" defaultRowHeight="14"/>
  <cols>
    <col min="1" max="1" width="14.26953125" style="13" customWidth="1"/>
    <col min="2" max="2" width="38.1796875" style="37" customWidth="1"/>
    <col min="3" max="3" width="12.26953125" style="13" bestFit="1" customWidth="1"/>
    <col min="4" max="4" width="2.1796875" style="13" bestFit="1" customWidth="1"/>
    <col min="5" max="5" width="10.179687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3.54296875" style="13" bestFit="1" customWidth="1"/>
    <col min="11" max="11" width="10.1796875" style="13" bestFit="1" customWidth="1"/>
    <col min="12" max="12" width="3.54296875" style="13" bestFit="1" customWidth="1"/>
    <col min="13" max="13" width="10.1796875" style="13" bestFit="1" customWidth="1"/>
    <col min="14" max="28" width="9.1796875" style="13"/>
    <col min="29" max="29" width="13.81640625" style="13" bestFit="1" customWidth="1"/>
    <col min="30" max="16384" width="9.1796875" style="13"/>
  </cols>
  <sheetData>
    <row r="1" spans="1:29">
      <c r="A1" s="53" t="s">
        <v>352</v>
      </c>
    </row>
    <row r="2" spans="1:29">
      <c r="A2" s="23" t="s">
        <v>670</v>
      </c>
      <c r="B2" s="30" t="s">
        <v>0</v>
      </c>
      <c r="C2" s="23" t="s">
        <v>669</v>
      </c>
      <c r="D2" s="23" t="s">
        <v>1</v>
      </c>
      <c r="E2" s="23">
        <v>2018</v>
      </c>
      <c r="F2" s="23" t="s">
        <v>1</v>
      </c>
      <c r="G2" s="23">
        <v>2019</v>
      </c>
      <c r="H2" s="23" t="s">
        <v>1</v>
      </c>
      <c r="I2" s="23">
        <v>2020</v>
      </c>
      <c r="J2" s="23" t="s">
        <v>1</v>
      </c>
      <c r="K2" s="23">
        <v>2021</v>
      </c>
      <c r="L2" s="23" t="s">
        <v>1</v>
      </c>
      <c r="M2" s="23">
        <v>2022</v>
      </c>
    </row>
    <row r="3" spans="1:29">
      <c r="A3" s="16" t="s">
        <v>19</v>
      </c>
      <c r="B3" s="15" t="s">
        <v>353</v>
      </c>
      <c r="C3" s="16" t="s">
        <v>836</v>
      </c>
      <c r="D3" s="16"/>
      <c r="E3" s="60">
        <v>25771437</v>
      </c>
      <c r="F3" s="16"/>
      <c r="G3" s="60">
        <v>29619970</v>
      </c>
      <c r="H3" s="16"/>
      <c r="I3" s="60">
        <v>30185214</v>
      </c>
      <c r="J3" s="16"/>
      <c r="K3" s="60">
        <v>35389246</v>
      </c>
      <c r="L3" s="16"/>
      <c r="M3" s="60">
        <v>33897648</v>
      </c>
    </row>
    <row r="4" spans="1:29">
      <c r="A4" s="16" t="s">
        <v>19</v>
      </c>
      <c r="B4" s="15" t="s">
        <v>353</v>
      </c>
      <c r="C4" s="16" t="s">
        <v>829</v>
      </c>
      <c r="D4" s="16"/>
      <c r="E4" s="60">
        <v>8806</v>
      </c>
      <c r="F4" s="16"/>
      <c r="G4" s="60">
        <v>10103</v>
      </c>
      <c r="H4" s="16"/>
      <c r="I4" s="60">
        <v>7037</v>
      </c>
      <c r="J4" s="16"/>
      <c r="K4" s="60">
        <v>8265</v>
      </c>
      <c r="L4" s="16"/>
      <c r="M4" s="60">
        <v>15506</v>
      </c>
    </row>
    <row r="5" spans="1:29">
      <c r="A5" s="16" t="s">
        <v>19</v>
      </c>
      <c r="B5" s="15" t="s">
        <v>354</v>
      </c>
      <c r="C5" s="16" t="s">
        <v>836</v>
      </c>
      <c r="D5" s="16"/>
      <c r="E5" s="60">
        <v>663678</v>
      </c>
      <c r="F5" s="16"/>
      <c r="G5" s="60">
        <v>632568</v>
      </c>
      <c r="H5" s="16"/>
      <c r="I5" s="60">
        <v>296460</v>
      </c>
      <c r="J5" s="16" t="s">
        <v>41</v>
      </c>
      <c r="K5" s="60">
        <v>524400</v>
      </c>
      <c r="L5" s="16"/>
      <c r="M5" s="60">
        <v>1016592</v>
      </c>
    </row>
    <row r="6" spans="1:29">
      <c r="A6" s="16" t="s">
        <v>19</v>
      </c>
      <c r="B6" s="15" t="s">
        <v>354</v>
      </c>
      <c r="C6" s="16" t="s">
        <v>829</v>
      </c>
      <c r="D6" s="16"/>
      <c r="E6" s="60">
        <v>867945</v>
      </c>
      <c r="F6" s="16"/>
      <c r="G6" s="60">
        <v>845889</v>
      </c>
      <c r="H6" s="16"/>
      <c r="I6" s="60">
        <v>431548</v>
      </c>
      <c r="J6" s="16" t="s">
        <v>41</v>
      </c>
      <c r="K6" s="60">
        <v>1015809</v>
      </c>
      <c r="L6" s="16"/>
      <c r="M6" s="60">
        <v>1250630</v>
      </c>
    </row>
    <row r="7" spans="1:29" ht="25.5">
      <c r="A7" s="16" t="s">
        <v>19</v>
      </c>
      <c r="B7" s="15" t="s">
        <v>774</v>
      </c>
      <c r="C7" s="16" t="s">
        <v>836</v>
      </c>
      <c r="D7" s="16"/>
      <c r="E7" s="60">
        <v>10125262</v>
      </c>
      <c r="F7" s="16"/>
      <c r="G7" s="60">
        <v>4050858</v>
      </c>
      <c r="H7" s="16"/>
      <c r="I7" s="60">
        <v>220464</v>
      </c>
      <c r="J7" s="16"/>
      <c r="K7" s="60">
        <v>227969</v>
      </c>
      <c r="L7" s="16"/>
      <c r="M7" s="60">
        <v>319836</v>
      </c>
    </row>
    <row r="8" spans="1:29" ht="25.5">
      <c r="A8" s="16" t="s">
        <v>19</v>
      </c>
      <c r="B8" s="15" t="s">
        <v>774</v>
      </c>
      <c r="C8" s="16" t="s">
        <v>829</v>
      </c>
      <c r="D8" s="16"/>
      <c r="E8" s="60">
        <v>599550</v>
      </c>
      <c r="F8" s="16"/>
      <c r="G8" s="60">
        <v>101433</v>
      </c>
      <c r="H8" s="16"/>
      <c r="I8" s="60">
        <v>16382</v>
      </c>
      <c r="J8" s="16"/>
      <c r="K8" s="60">
        <v>45701</v>
      </c>
      <c r="L8" s="16"/>
      <c r="M8" s="60">
        <v>40158</v>
      </c>
    </row>
    <row r="9" spans="1:29">
      <c r="A9" s="16" t="s">
        <v>19</v>
      </c>
      <c r="B9" s="15" t="s">
        <v>200</v>
      </c>
      <c r="C9" s="16" t="s">
        <v>836</v>
      </c>
      <c r="D9" s="16"/>
      <c r="E9" s="60">
        <v>5418781</v>
      </c>
      <c r="F9" s="16"/>
      <c r="G9" s="60">
        <v>3040649</v>
      </c>
      <c r="H9" s="16"/>
      <c r="I9" s="60">
        <v>1646227</v>
      </c>
      <c r="J9" s="16"/>
      <c r="K9" s="60">
        <v>2608956</v>
      </c>
      <c r="L9" s="16"/>
      <c r="M9" s="60">
        <v>1976340</v>
      </c>
    </row>
    <row r="10" spans="1:29">
      <c r="A10" s="16" t="s">
        <v>19</v>
      </c>
      <c r="B10" s="15" t="s">
        <v>200</v>
      </c>
      <c r="C10" s="16" t="s">
        <v>829</v>
      </c>
      <c r="D10" s="16"/>
      <c r="E10" s="60">
        <v>11982</v>
      </c>
      <c r="F10" s="16"/>
      <c r="G10" s="60">
        <v>41067</v>
      </c>
      <c r="H10" s="16"/>
      <c r="I10" s="60">
        <v>7634</v>
      </c>
      <c r="J10" s="16"/>
      <c r="K10" s="60">
        <v>8649</v>
      </c>
      <c r="L10" s="16"/>
      <c r="M10" s="60">
        <v>6797</v>
      </c>
    </row>
    <row r="11" spans="1:29" ht="23">
      <c r="A11" s="16" t="s">
        <v>19</v>
      </c>
      <c r="B11" s="15" t="s">
        <v>355</v>
      </c>
      <c r="C11" s="16" t="s">
        <v>836</v>
      </c>
      <c r="D11" s="16"/>
      <c r="E11" s="60">
        <v>20338927</v>
      </c>
      <c r="F11" s="16"/>
      <c r="G11" s="60">
        <v>16432540</v>
      </c>
      <c r="H11" s="16"/>
      <c r="I11" s="60">
        <v>58749</v>
      </c>
      <c r="J11" s="16"/>
      <c r="K11" s="60">
        <v>78181</v>
      </c>
      <c r="L11" s="16" t="s">
        <v>41</v>
      </c>
      <c r="M11" s="60">
        <v>1200</v>
      </c>
      <c r="AC11" s="68"/>
    </row>
    <row r="12" spans="1:29">
      <c r="A12" s="16" t="s">
        <v>19</v>
      </c>
      <c r="B12" s="15" t="s">
        <v>355</v>
      </c>
      <c r="C12" s="16" t="s">
        <v>829</v>
      </c>
      <c r="D12" s="16"/>
      <c r="E12" s="60">
        <v>551666</v>
      </c>
      <c r="F12" s="16"/>
      <c r="G12" s="60">
        <v>442201</v>
      </c>
      <c r="H12" s="16"/>
      <c r="I12" s="60">
        <v>4539</v>
      </c>
      <c r="J12" s="16"/>
      <c r="K12" s="60">
        <v>4075</v>
      </c>
      <c r="L12" s="16" t="s">
        <v>41</v>
      </c>
      <c r="M12" s="16">
        <v>190</v>
      </c>
    </row>
    <row r="13" spans="1:29">
      <c r="A13" s="16"/>
      <c r="B13" s="15"/>
      <c r="C13" s="16"/>
      <c r="D13" s="16"/>
      <c r="E13" s="16"/>
      <c r="F13" s="16"/>
      <c r="G13" s="16"/>
      <c r="H13" s="16"/>
      <c r="I13" s="16"/>
      <c r="J13" s="16"/>
      <c r="K13" s="16"/>
      <c r="L13" s="16"/>
      <c r="M13" s="16"/>
    </row>
    <row r="14" spans="1:29">
      <c r="A14" s="16" t="s">
        <v>20</v>
      </c>
      <c r="B14" s="15" t="s">
        <v>353</v>
      </c>
      <c r="C14" s="16" t="s">
        <v>836</v>
      </c>
      <c r="D14" s="16"/>
      <c r="E14" s="60">
        <v>28474520</v>
      </c>
      <c r="F14" s="16"/>
      <c r="G14" s="60">
        <v>20891380</v>
      </c>
      <c r="H14" s="16"/>
      <c r="I14" s="60">
        <v>18689126</v>
      </c>
      <c r="J14" s="16"/>
      <c r="K14" s="60">
        <v>26286686</v>
      </c>
      <c r="L14" s="16"/>
      <c r="M14" s="60">
        <v>48356980</v>
      </c>
    </row>
    <row r="15" spans="1:29">
      <c r="A15" s="16" t="s">
        <v>20</v>
      </c>
      <c r="B15" s="15" t="s">
        <v>353</v>
      </c>
      <c r="C15" s="16" t="s">
        <v>829</v>
      </c>
      <c r="D15" s="16"/>
      <c r="E15" s="60">
        <v>10905</v>
      </c>
      <c r="F15" s="16"/>
      <c r="G15" s="60">
        <v>9740</v>
      </c>
      <c r="H15" s="16"/>
      <c r="I15" s="60">
        <v>7958</v>
      </c>
      <c r="J15" s="16"/>
      <c r="K15" s="60">
        <v>9227</v>
      </c>
      <c r="L15" s="16"/>
      <c r="M15" s="60">
        <v>12409</v>
      </c>
    </row>
    <row r="16" spans="1:29">
      <c r="A16" s="16" t="s">
        <v>20</v>
      </c>
      <c r="B16" s="15" t="s">
        <v>354</v>
      </c>
      <c r="C16" s="16" t="s">
        <v>836</v>
      </c>
      <c r="D16" s="16"/>
      <c r="E16" s="60">
        <v>170873</v>
      </c>
      <c r="F16" s="16"/>
      <c r="G16" s="60">
        <v>267847</v>
      </c>
      <c r="H16" s="16"/>
      <c r="I16" s="60">
        <v>94037</v>
      </c>
      <c r="J16" s="16"/>
      <c r="K16" s="60">
        <v>238957</v>
      </c>
      <c r="L16" s="16"/>
      <c r="M16" s="60">
        <v>282645</v>
      </c>
    </row>
    <row r="17" spans="1:13">
      <c r="A17" s="16" t="s">
        <v>20</v>
      </c>
      <c r="B17" s="15" t="s">
        <v>354</v>
      </c>
      <c r="C17" s="16" t="s">
        <v>829</v>
      </c>
      <c r="D17" s="16"/>
      <c r="E17" s="60">
        <v>547734</v>
      </c>
      <c r="F17" s="16"/>
      <c r="G17" s="60">
        <v>1012823</v>
      </c>
      <c r="H17" s="16"/>
      <c r="I17" s="60">
        <v>416277</v>
      </c>
      <c r="J17" s="16"/>
      <c r="K17" s="60">
        <v>558502</v>
      </c>
      <c r="L17" s="16"/>
      <c r="M17" s="60">
        <v>916593</v>
      </c>
    </row>
    <row r="18" spans="1:13" ht="25.5">
      <c r="A18" s="16" t="s">
        <v>20</v>
      </c>
      <c r="B18" s="15" t="s">
        <v>774</v>
      </c>
      <c r="C18" s="16" t="s">
        <v>836</v>
      </c>
      <c r="D18" s="16"/>
      <c r="E18" s="60">
        <v>272713</v>
      </c>
      <c r="F18" s="16"/>
      <c r="G18" s="60">
        <v>309700</v>
      </c>
      <c r="H18" s="16"/>
      <c r="I18" s="60">
        <v>148020</v>
      </c>
      <c r="J18" s="16"/>
      <c r="K18" s="60">
        <v>124933</v>
      </c>
      <c r="L18" s="16"/>
      <c r="M18" s="60">
        <v>106882</v>
      </c>
    </row>
    <row r="19" spans="1:13" ht="25.5">
      <c r="A19" s="16" t="s">
        <v>20</v>
      </c>
      <c r="B19" s="15" t="s">
        <v>774</v>
      </c>
      <c r="C19" s="16" t="s">
        <v>829</v>
      </c>
      <c r="D19" s="16"/>
      <c r="E19" s="60">
        <v>40109</v>
      </c>
      <c r="F19" s="16"/>
      <c r="G19" s="60">
        <v>47278</v>
      </c>
      <c r="H19" s="16"/>
      <c r="I19" s="60">
        <v>14618</v>
      </c>
      <c r="J19" s="16"/>
      <c r="K19" s="60">
        <v>46404</v>
      </c>
      <c r="L19" s="16"/>
      <c r="M19" s="60">
        <v>50178</v>
      </c>
    </row>
    <row r="20" spans="1:13">
      <c r="A20" s="16" t="s">
        <v>20</v>
      </c>
      <c r="B20" s="15" t="s">
        <v>200</v>
      </c>
      <c r="C20" s="16" t="s">
        <v>836</v>
      </c>
      <c r="D20" s="16"/>
      <c r="E20" s="60">
        <v>1019188</v>
      </c>
      <c r="F20" s="16"/>
      <c r="G20" s="60">
        <v>1160545</v>
      </c>
      <c r="H20" s="16"/>
      <c r="I20" s="60">
        <v>503444</v>
      </c>
      <c r="J20" s="16"/>
      <c r="K20" s="60">
        <v>561027</v>
      </c>
      <c r="L20" s="16"/>
      <c r="M20" s="60">
        <v>618496</v>
      </c>
    </row>
    <row r="21" spans="1:13">
      <c r="A21" s="16" t="s">
        <v>20</v>
      </c>
      <c r="B21" s="15" t="s">
        <v>200</v>
      </c>
      <c r="C21" s="16" t="s">
        <v>829</v>
      </c>
      <c r="D21" s="16"/>
      <c r="E21" s="60">
        <v>6695</v>
      </c>
      <c r="F21" s="16"/>
      <c r="G21" s="60">
        <v>8079</v>
      </c>
      <c r="H21" s="16"/>
      <c r="I21" s="60">
        <v>6619</v>
      </c>
      <c r="J21" s="16"/>
      <c r="K21" s="60">
        <v>10496</v>
      </c>
      <c r="L21" s="16"/>
      <c r="M21" s="60">
        <v>5304</v>
      </c>
    </row>
    <row r="22" spans="1:13">
      <c r="A22" s="16" t="s">
        <v>20</v>
      </c>
      <c r="B22" s="15" t="s">
        <v>355</v>
      </c>
      <c r="C22" s="16" t="s">
        <v>836</v>
      </c>
      <c r="D22" s="16"/>
      <c r="E22" s="60">
        <v>27062547</v>
      </c>
      <c r="F22" s="16"/>
      <c r="G22" s="60">
        <v>16369776</v>
      </c>
      <c r="H22" s="16"/>
      <c r="I22" s="16">
        <v>638</v>
      </c>
      <c r="J22" s="16"/>
      <c r="K22" s="60">
        <v>2864</v>
      </c>
      <c r="L22" s="16"/>
      <c r="M22" s="60">
        <v>54666</v>
      </c>
    </row>
    <row r="23" spans="1:13">
      <c r="A23" s="16" t="s">
        <v>20</v>
      </c>
      <c r="B23" s="15" t="s">
        <v>355</v>
      </c>
      <c r="C23" s="16" t="s">
        <v>829</v>
      </c>
      <c r="D23" s="16"/>
      <c r="E23" s="60">
        <v>948380</v>
      </c>
      <c r="F23" s="16"/>
      <c r="G23" s="60">
        <v>442800</v>
      </c>
      <c r="H23" s="16"/>
      <c r="I23" s="16">
        <v>172</v>
      </c>
      <c r="J23" s="16"/>
      <c r="K23" s="16">
        <v>128</v>
      </c>
      <c r="L23" s="16"/>
      <c r="M23" s="60">
        <v>1700</v>
      </c>
    </row>
    <row r="24" spans="1:13">
      <c r="A24" s="26"/>
      <c r="B24" s="34"/>
      <c r="C24" s="26"/>
      <c r="D24" s="26"/>
      <c r="E24" s="69"/>
      <c r="F24" s="26"/>
      <c r="G24" s="69"/>
      <c r="H24" s="26"/>
      <c r="I24" s="26"/>
      <c r="J24" s="26"/>
      <c r="K24" s="26"/>
      <c r="L24" s="26"/>
      <c r="M24" s="69"/>
    </row>
    <row r="25" spans="1:13" ht="6.75" customHeight="1">
      <c r="A25" s="16"/>
      <c r="B25" s="15"/>
      <c r="C25" s="16"/>
      <c r="D25" s="16"/>
      <c r="E25" s="16"/>
      <c r="F25" s="16"/>
      <c r="G25" s="16"/>
      <c r="H25" s="16"/>
      <c r="I25" s="16"/>
      <c r="J25" s="16"/>
      <c r="K25" s="16"/>
      <c r="L25" s="16"/>
      <c r="M25" s="16"/>
    </row>
    <row r="26" spans="1:13">
      <c r="A26" s="16" t="s">
        <v>14</v>
      </c>
      <c r="B26" s="15" t="s">
        <v>15</v>
      </c>
      <c r="C26" s="16"/>
      <c r="D26" s="16"/>
      <c r="E26" s="16"/>
      <c r="F26" s="16"/>
      <c r="G26" s="16"/>
      <c r="H26" s="16"/>
      <c r="I26" s="16"/>
      <c r="J26" s="16"/>
      <c r="K26" s="16"/>
      <c r="L26" s="16"/>
      <c r="M26" s="16"/>
    </row>
    <row r="27" spans="1:13">
      <c r="A27" s="16" t="s">
        <v>69</v>
      </c>
      <c r="B27" s="106" t="s">
        <v>791</v>
      </c>
      <c r="C27" s="106"/>
      <c r="D27" s="106"/>
      <c r="E27" s="106"/>
      <c r="F27" s="106"/>
      <c r="G27" s="106"/>
      <c r="H27" s="106"/>
      <c r="I27" s="106"/>
      <c r="J27" s="106"/>
      <c r="K27" s="106"/>
      <c r="L27" s="106"/>
      <c r="M27" s="16"/>
    </row>
    <row r="28" spans="1:13" ht="7.5" customHeight="1">
      <c r="A28" s="16"/>
      <c r="B28" s="15"/>
      <c r="C28" s="16"/>
      <c r="D28" s="16"/>
      <c r="E28" s="16"/>
      <c r="F28" s="16"/>
      <c r="G28" s="16"/>
      <c r="H28" s="16"/>
      <c r="I28" s="16"/>
      <c r="J28" s="16"/>
      <c r="K28" s="16"/>
      <c r="L28" s="16"/>
      <c r="M28" s="16"/>
    </row>
    <row r="29" spans="1:13">
      <c r="A29" s="16" t="s">
        <v>790</v>
      </c>
      <c r="B29" s="15"/>
      <c r="C29" s="16"/>
      <c r="D29" s="16"/>
      <c r="E29" s="16"/>
      <c r="F29" s="16"/>
      <c r="G29" s="16"/>
      <c r="H29" s="16"/>
      <c r="I29" s="16"/>
      <c r="J29" s="16"/>
      <c r="K29" s="16"/>
      <c r="L29" s="16"/>
      <c r="M29" s="16"/>
    </row>
    <row r="30" spans="1:13" ht="7.5" customHeight="1">
      <c r="A30" s="16"/>
      <c r="B30" s="15"/>
      <c r="C30" s="16"/>
      <c r="D30" s="16"/>
      <c r="E30" s="16"/>
      <c r="F30" s="16"/>
      <c r="G30" s="16"/>
      <c r="H30" s="16"/>
      <c r="I30" s="16"/>
      <c r="J30" s="16"/>
      <c r="K30" s="16"/>
      <c r="L30" s="16"/>
      <c r="M30" s="16"/>
    </row>
    <row r="31" spans="1:13">
      <c r="A31" s="28" t="str">
        <f>HYPERLINK("[UKMY 2023 PrintableV1.1 12_09_24.xlsx]Contents!A1","Return to contents page")</f>
        <v>Return to contents page</v>
      </c>
      <c r="B31" s="15"/>
      <c r="C31" s="16"/>
      <c r="D31" s="16"/>
      <c r="E31" s="16"/>
      <c r="F31" s="16"/>
      <c r="G31" s="16"/>
      <c r="H31" s="16"/>
      <c r="I31" s="16"/>
      <c r="J31" s="16"/>
      <c r="K31" s="16"/>
      <c r="L31" s="16"/>
      <c r="M31" s="16"/>
    </row>
    <row r="63" spans="5:5">
      <c r="E63" s="47"/>
    </row>
  </sheetData>
  <sortState xmlns:xlrd2="http://schemas.microsoft.com/office/spreadsheetml/2017/richdata2" ref="A3:M24">
    <sortCondition ref="A14:A24"/>
    <sortCondition ref="B14:B24"/>
  </sortState>
  <mergeCells count="1">
    <mergeCell ref="B27:L27"/>
  </mergeCell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14A71-E172-463D-AEB7-47AC8D423263}">
  <dimension ref="A1:M64"/>
  <sheetViews>
    <sheetView view="pageBreakPreview" zoomScaleNormal="100" zoomScaleSheetLayoutView="100" workbookViewId="0">
      <selection activeCell="B11" sqref="B11:L11"/>
    </sheetView>
  </sheetViews>
  <sheetFormatPr defaultColWidth="44.453125" defaultRowHeight="14"/>
  <cols>
    <col min="1" max="1" width="15.26953125" style="13" customWidth="1"/>
    <col min="2" max="2" width="26.26953125" style="13" bestFit="1" customWidth="1"/>
    <col min="3" max="3" width="15.26953125" style="13" bestFit="1" customWidth="1"/>
    <col min="4" max="4" width="3.453125" style="13" bestFit="1" customWidth="1"/>
    <col min="5" max="5" width="7.26953125" style="13" bestFit="1" customWidth="1"/>
    <col min="6" max="6" width="3.453125" style="13" bestFit="1" customWidth="1"/>
    <col min="7" max="7" width="7.26953125" style="13" bestFit="1" customWidth="1"/>
    <col min="8" max="8" width="3.453125" style="13" bestFit="1" customWidth="1"/>
    <col min="9" max="9" width="7.26953125" style="13" bestFit="1" customWidth="1"/>
    <col min="10" max="10" width="3.453125" style="13" bestFit="1" customWidth="1"/>
    <col min="11" max="11" width="7.26953125" style="13" bestFit="1" customWidth="1"/>
    <col min="12" max="12" width="3.453125" style="13" bestFit="1" customWidth="1"/>
    <col min="13" max="13" width="7.26953125" style="13" bestFit="1" customWidth="1"/>
    <col min="14" max="16384" width="44.453125" style="13"/>
  </cols>
  <sheetData>
    <row r="1" spans="1:13" ht="15.5">
      <c r="A1" s="20" t="s">
        <v>356</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357</v>
      </c>
      <c r="C3" s="13" t="s">
        <v>829</v>
      </c>
      <c r="D3" s="13" t="s">
        <v>205</v>
      </c>
      <c r="E3" s="57">
        <v>4853</v>
      </c>
      <c r="F3" s="13" t="s">
        <v>205</v>
      </c>
      <c r="G3" s="57">
        <v>3877</v>
      </c>
      <c r="H3" s="13" t="s">
        <v>205</v>
      </c>
      <c r="I3" s="57">
        <v>3659</v>
      </c>
      <c r="J3" s="13" t="s">
        <v>205</v>
      </c>
      <c r="K3" s="57">
        <v>3946</v>
      </c>
      <c r="L3" s="13" t="s">
        <v>205</v>
      </c>
      <c r="M3" s="57">
        <v>5112</v>
      </c>
    </row>
    <row r="4" spans="1:13">
      <c r="A4" s="13" t="s">
        <v>19</v>
      </c>
      <c r="B4" s="13" t="s">
        <v>357</v>
      </c>
      <c r="C4" s="13" t="s">
        <v>201</v>
      </c>
      <c r="D4" s="13" t="s">
        <v>205</v>
      </c>
      <c r="E4" s="57">
        <v>19288</v>
      </c>
      <c r="F4" s="13" t="s">
        <v>205</v>
      </c>
      <c r="G4" s="57">
        <v>11649</v>
      </c>
      <c r="H4" s="13" t="s">
        <v>205</v>
      </c>
      <c r="I4" s="57">
        <v>11201</v>
      </c>
      <c r="J4" s="13" t="s">
        <v>205</v>
      </c>
      <c r="K4" s="57">
        <v>12120</v>
      </c>
      <c r="L4" s="13" t="s">
        <v>205</v>
      </c>
      <c r="M4" s="57">
        <v>11024</v>
      </c>
    </row>
    <row r="6" spans="1:13">
      <c r="A6" s="13" t="s">
        <v>20</v>
      </c>
      <c r="B6" s="13" t="s">
        <v>357</v>
      </c>
      <c r="C6" s="13" t="s">
        <v>829</v>
      </c>
      <c r="D6" s="13" t="s">
        <v>205</v>
      </c>
      <c r="E6" s="13">
        <v>476</v>
      </c>
      <c r="F6" s="13" t="s">
        <v>205</v>
      </c>
      <c r="G6" s="13">
        <v>370</v>
      </c>
      <c r="H6" s="13" t="s">
        <v>205</v>
      </c>
      <c r="I6" s="13">
        <v>222</v>
      </c>
      <c r="J6" s="13" t="s">
        <v>205</v>
      </c>
      <c r="K6" s="13">
        <v>300</v>
      </c>
      <c r="L6" s="13" t="s">
        <v>205</v>
      </c>
      <c r="M6" s="13">
        <v>952</v>
      </c>
    </row>
    <row r="7" spans="1:13">
      <c r="A7" s="13" t="s">
        <v>20</v>
      </c>
      <c r="B7" s="13" t="s">
        <v>357</v>
      </c>
      <c r="C7" s="13" t="s">
        <v>201</v>
      </c>
      <c r="D7" s="13" t="s">
        <v>205</v>
      </c>
      <c r="E7" s="13">
        <v>619</v>
      </c>
      <c r="F7" s="13" t="s">
        <v>205</v>
      </c>
      <c r="G7" s="13">
        <v>315</v>
      </c>
      <c r="H7" s="13" t="s">
        <v>205</v>
      </c>
      <c r="I7" s="13">
        <v>254</v>
      </c>
      <c r="J7" s="13" t="s">
        <v>205</v>
      </c>
      <c r="K7" s="13">
        <v>489</v>
      </c>
      <c r="L7" s="13" t="s">
        <v>205</v>
      </c>
      <c r="M7" s="57">
        <v>2466</v>
      </c>
    </row>
    <row r="8" spans="1:13">
      <c r="A8" s="35"/>
      <c r="B8" s="35"/>
      <c r="C8" s="35"/>
      <c r="D8" s="35"/>
      <c r="E8" s="35"/>
      <c r="F8" s="35"/>
      <c r="G8" s="35"/>
      <c r="H8" s="35"/>
      <c r="I8" s="35"/>
      <c r="J8" s="35"/>
      <c r="K8" s="35"/>
      <c r="L8" s="35"/>
      <c r="M8" s="35"/>
    </row>
    <row r="10" spans="1:13">
      <c r="A10" s="13" t="s">
        <v>14</v>
      </c>
      <c r="B10" s="13" t="s">
        <v>15</v>
      </c>
    </row>
    <row r="11" spans="1:13" ht="35.25" customHeight="1">
      <c r="A11" s="13" t="s">
        <v>214</v>
      </c>
      <c r="B11" s="103" t="s">
        <v>358</v>
      </c>
      <c r="C11" s="103"/>
      <c r="D11" s="103"/>
      <c r="E11" s="103"/>
      <c r="F11" s="103"/>
      <c r="G11" s="103"/>
      <c r="H11" s="103"/>
      <c r="I11" s="103"/>
      <c r="J11" s="103"/>
      <c r="K11" s="103"/>
      <c r="L11" s="103"/>
    </row>
    <row r="14" spans="1:13">
      <c r="A14" s="46" t="str">
        <f>HYPERLINK("[UKMY 2023 PrintableV1.1 12_09_24.xlsx]Contents!A1","Return to contents page")</f>
        <v>Return to contents page</v>
      </c>
    </row>
    <row r="64" spans="5:5">
      <c r="E64" s="47"/>
    </row>
  </sheetData>
  <mergeCells count="1">
    <mergeCell ref="B11:L11"/>
  </mergeCell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8A1C-D13F-4978-A3CE-ED1F7B3B510D}">
  <dimension ref="A1:M64"/>
  <sheetViews>
    <sheetView view="pageBreakPreview" zoomScaleNormal="100" zoomScaleSheetLayoutView="100" workbookViewId="0">
      <selection activeCell="B10" sqref="B10"/>
    </sheetView>
  </sheetViews>
  <sheetFormatPr defaultColWidth="9" defaultRowHeight="14"/>
  <cols>
    <col min="1" max="1" width="16" style="13" customWidth="1"/>
    <col min="2" max="2" width="49.7265625" style="13" bestFit="1" customWidth="1"/>
    <col min="3" max="3" width="15.26953125" style="13" bestFit="1" customWidth="1"/>
    <col min="4" max="4" width="2.1796875" style="13" bestFit="1" customWidth="1"/>
    <col min="5" max="5" width="7.26953125" style="13" bestFit="1" customWidth="1"/>
    <col min="6" max="6" width="2.1796875" style="13" bestFit="1" customWidth="1"/>
    <col min="7" max="7" width="7.26953125" style="13" bestFit="1" customWidth="1"/>
    <col min="8" max="8" width="2.1796875" style="13" bestFit="1" customWidth="1"/>
    <col min="9" max="9" width="7.26953125" style="13" bestFit="1" customWidth="1"/>
    <col min="10" max="10" width="2.1796875" style="13" bestFit="1" customWidth="1"/>
    <col min="11" max="11" width="7.26953125" style="13" bestFit="1" customWidth="1"/>
    <col min="12" max="12" width="2.1796875" style="13" bestFit="1" customWidth="1"/>
    <col min="13" max="13" width="7.26953125" style="13" bestFit="1" customWidth="1"/>
    <col min="14" max="16384" width="9" style="13"/>
  </cols>
  <sheetData>
    <row r="1" spans="1:13" ht="15.5">
      <c r="A1" s="20" t="s">
        <v>360</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361</v>
      </c>
      <c r="C3" s="13" t="s">
        <v>829</v>
      </c>
      <c r="E3" s="57">
        <v>1512</v>
      </c>
      <c r="G3" s="57">
        <v>1447</v>
      </c>
      <c r="I3" s="13">
        <v>483</v>
      </c>
      <c r="K3" s="57">
        <v>1024</v>
      </c>
      <c r="M3" s="57">
        <v>3424</v>
      </c>
    </row>
    <row r="4" spans="1:13">
      <c r="A4" s="13" t="s">
        <v>19</v>
      </c>
      <c r="B4" s="13" t="s">
        <v>361</v>
      </c>
      <c r="C4" s="13" t="s">
        <v>201</v>
      </c>
      <c r="E4" s="57">
        <v>7679</v>
      </c>
      <c r="G4" s="57">
        <v>9461</v>
      </c>
      <c r="I4" s="57">
        <v>1708</v>
      </c>
      <c r="K4" s="57">
        <v>7329</v>
      </c>
      <c r="M4" s="57">
        <v>23030</v>
      </c>
    </row>
    <row r="5" spans="1:13">
      <c r="A5" s="13" t="s">
        <v>19</v>
      </c>
      <c r="B5" s="13" t="s">
        <v>362</v>
      </c>
      <c r="C5" s="13" t="s">
        <v>829</v>
      </c>
      <c r="E5" s="57">
        <v>3474</v>
      </c>
      <c r="G5" s="57">
        <v>3018</v>
      </c>
      <c r="I5" s="57">
        <v>2129</v>
      </c>
      <c r="K5" s="57">
        <v>2411</v>
      </c>
      <c r="M5" s="57">
        <v>2271</v>
      </c>
    </row>
    <row r="6" spans="1:13">
      <c r="A6" s="13" t="s">
        <v>19</v>
      </c>
      <c r="B6" s="13" t="s">
        <v>362</v>
      </c>
      <c r="C6" s="13" t="s">
        <v>201</v>
      </c>
      <c r="E6" s="57">
        <v>36122</v>
      </c>
      <c r="G6" s="57">
        <v>28872</v>
      </c>
      <c r="I6" s="57">
        <v>19149</v>
      </c>
      <c r="K6" s="57">
        <v>22189</v>
      </c>
      <c r="M6" s="57">
        <v>23385</v>
      </c>
    </row>
    <row r="8" spans="1:13">
      <c r="A8" s="13" t="s">
        <v>20</v>
      </c>
      <c r="B8" s="13" t="s">
        <v>361</v>
      </c>
      <c r="C8" s="13" t="s">
        <v>829</v>
      </c>
      <c r="E8" s="13">
        <v>70</v>
      </c>
      <c r="G8" s="13">
        <v>36</v>
      </c>
      <c r="I8" s="13">
        <v>21</v>
      </c>
      <c r="K8" s="13">
        <v>6</v>
      </c>
      <c r="M8" s="13">
        <v>77</v>
      </c>
    </row>
    <row r="9" spans="1:13">
      <c r="A9" s="13" t="s">
        <v>20</v>
      </c>
      <c r="B9" s="13" t="s">
        <v>361</v>
      </c>
      <c r="C9" s="13" t="s">
        <v>201</v>
      </c>
      <c r="E9" s="13">
        <v>160</v>
      </c>
      <c r="G9" s="13">
        <v>71</v>
      </c>
      <c r="I9" s="13">
        <v>26</v>
      </c>
      <c r="K9" s="13">
        <v>12</v>
      </c>
      <c r="M9" s="13">
        <v>60</v>
      </c>
    </row>
    <row r="10" spans="1:13">
      <c r="A10" s="13" t="s">
        <v>20</v>
      </c>
      <c r="B10" s="13" t="s">
        <v>362</v>
      </c>
      <c r="C10" s="13" t="s">
        <v>829</v>
      </c>
      <c r="E10" s="13">
        <v>150</v>
      </c>
      <c r="G10" s="13">
        <v>99</v>
      </c>
      <c r="I10" s="13">
        <v>102</v>
      </c>
      <c r="K10" s="13">
        <v>172</v>
      </c>
      <c r="M10" s="13">
        <v>231</v>
      </c>
    </row>
    <row r="11" spans="1:13">
      <c r="A11" s="13" t="s">
        <v>20</v>
      </c>
      <c r="B11" s="13" t="s">
        <v>362</v>
      </c>
      <c r="C11" s="13" t="s">
        <v>201</v>
      </c>
      <c r="E11" s="13">
        <v>567</v>
      </c>
      <c r="G11" s="13">
        <v>446</v>
      </c>
      <c r="I11" s="13">
        <v>435</v>
      </c>
      <c r="K11" s="13">
        <v>520</v>
      </c>
      <c r="M11" s="13">
        <v>405</v>
      </c>
    </row>
    <row r="12" spans="1:13">
      <c r="A12" s="35"/>
      <c r="B12" s="35"/>
      <c r="C12" s="35"/>
      <c r="D12" s="35"/>
      <c r="E12" s="35"/>
      <c r="F12" s="35"/>
      <c r="G12" s="35"/>
      <c r="H12" s="35"/>
      <c r="I12" s="35"/>
      <c r="J12" s="35"/>
      <c r="K12" s="35"/>
      <c r="L12" s="35"/>
      <c r="M12" s="35"/>
    </row>
    <row r="15" spans="1:13">
      <c r="A15" s="46" t="str">
        <f>HYPERLINK("[UKMY 2023 PrintableV1.1 12_09_24.xlsx]Contents!A1","Return to contents page")</f>
        <v>Return to contents page</v>
      </c>
    </row>
    <row r="64" spans="5:5">
      <c r="E64" s="47"/>
    </row>
  </sheetData>
  <sortState xmlns:xlrd2="http://schemas.microsoft.com/office/spreadsheetml/2017/richdata2" ref="A3:M12">
    <sortCondition ref="A8:A12"/>
    <sortCondition ref="B8:B12"/>
  </sortState>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2339-8C1A-4EA8-B9D7-6D170B32312E}">
  <dimension ref="A1:M64"/>
  <sheetViews>
    <sheetView view="pageBreakPreview" zoomScaleNormal="100" zoomScaleSheetLayoutView="100" workbookViewId="0">
      <selection activeCell="B6" sqref="B6"/>
    </sheetView>
  </sheetViews>
  <sheetFormatPr defaultColWidth="9.1796875" defaultRowHeight="14"/>
  <cols>
    <col min="1" max="1" width="20.26953125" style="13" customWidth="1"/>
    <col min="2" max="2" width="32.453125" style="13" bestFit="1" customWidth="1"/>
    <col min="3" max="3" width="15.26953125" style="13" bestFit="1" customWidth="1"/>
    <col min="4" max="4" width="2.1796875" style="13" bestFit="1" customWidth="1"/>
    <col min="5" max="5" width="7.26953125" style="13" bestFit="1" customWidth="1"/>
    <col min="6" max="6" width="2.1796875" style="13" bestFit="1" customWidth="1"/>
    <col min="7" max="7" width="7.26953125" style="13" bestFit="1" customWidth="1"/>
    <col min="8" max="8" width="2.1796875" style="13" bestFit="1" customWidth="1"/>
    <col min="9" max="9" width="7.26953125" style="13" bestFit="1" customWidth="1"/>
    <col min="10" max="10" width="2.1796875" style="13" bestFit="1" customWidth="1"/>
    <col min="11" max="11" width="7.26953125" style="13" bestFit="1" customWidth="1"/>
    <col min="12" max="12" width="2.1796875" style="13" bestFit="1" customWidth="1"/>
    <col min="13" max="13" width="7.26953125" style="13" bestFit="1" customWidth="1"/>
    <col min="14" max="16384" width="9.1796875" style="13"/>
  </cols>
  <sheetData>
    <row r="1" spans="1:13" ht="15.5">
      <c r="A1" s="20" t="s">
        <v>363</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364</v>
      </c>
      <c r="C3" s="13" t="s">
        <v>829</v>
      </c>
      <c r="E3" s="57">
        <v>1853</v>
      </c>
      <c r="G3" s="57">
        <v>2133</v>
      </c>
      <c r="I3" s="57">
        <v>1696</v>
      </c>
      <c r="K3" s="57">
        <v>4472</v>
      </c>
      <c r="M3" s="57">
        <v>7797</v>
      </c>
    </row>
    <row r="4" spans="1:13">
      <c r="A4" s="13" t="s">
        <v>19</v>
      </c>
      <c r="B4" s="13" t="s">
        <v>364</v>
      </c>
      <c r="C4" s="13" t="s">
        <v>201</v>
      </c>
      <c r="E4" s="57">
        <v>2192</v>
      </c>
      <c r="G4" s="57">
        <v>1621</v>
      </c>
      <c r="I4" s="57">
        <v>2755</v>
      </c>
      <c r="K4" s="57">
        <v>4061</v>
      </c>
      <c r="M4" s="57">
        <v>6678</v>
      </c>
    </row>
    <row r="5" spans="1:13">
      <c r="A5" s="13" t="s">
        <v>19</v>
      </c>
      <c r="B5" s="13" t="s">
        <v>365</v>
      </c>
      <c r="C5" s="13" t="s">
        <v>829</v>
      </c>
      <c r="E5" s="57">
        <v>1664</v>
      </c>
      <c r="G5" s="57">
        <v>2465</v>
      </c>
      <c r="I5" s="57">
        <v>2435</v>
      </c>
      <c r="K5" s="57">
        <v>2014</v>
      </c>
      <c r="M5" s="57">
        <v>4015</v>
      </c>
    </row>
    <row r="6" spans="1:13">
      <c r="A6" s="13" t="s">
        <v>19</v>
      </c>
      <c r="B6" s="13" t="s">
        <v>365</v>
      </c>
      <c r="C6" s="13" t="s">
        <v>201</v>
      </c>
      <c r="E6" s="57">
        <v>4970</v>
      </c>
      <c r="G6" s="57">
        <v>6718</v>
      </c>
      <c r="I6" s="57">
        <v>6736</v>
      </c>
      <c r="K6" s="57">
        <v>4980</v>
      </c>
      <c r="M6" s="57">
        <v>7342</v>
      </c>
    </row>
    <row r="7" spans="1:13">
      <c r="A7" s="13" t="s">
        <v>19</v>
      </c>
      <c r="B7" s="13" t="s">
        <v>366</v>
      </c>
      <c r="C7" s="13" t="s">
        <v>829</v>
      </c>
      <c r="E7" s="57">
        <v>3489</v>
      </c>
      <c r="G7" s="57">
        <v>3555</v>
      </c>
      <c r="I7" s="57">
        <v>3581</v>
      </c>
      <c r="K7" s="57">
        <v>3155</v>
      </c>
      <c r="M7" s="57">
        <v>8182</v>
      </c>
    </row>
    <row r="8" spans="1:13">
      <c r="A8" s="13" t="s">
        <v>19</v>
      </c>
      <c r="B8" s="13" t="s">
        <v>366</v>
      </c>
      <c r="C8" s="13" t="s">
        <v>201</v>
      </c>
      <c r="E8" s="57">
        <v>1140</v>
      </c>
      <c r="G8" s="57">
        <v>1045</v>
      </c>
      <c r="I8" s="57">
        <v>1009</v>
      </c>
      <c r="K8" s="57">
        <v>1117</v>
      </c>
      <c r="M8" s="57">
        <v>2478</v>
      </c>
    </row>
    <row r="10" spans="1:13">
      <c r="A10" s="13" t="s">
        <v>20</v>
      </c>
      <c r="B10" s="13" t="s">
        <v>364</v>
      </c>
      <c r="C10" s="13" t="s">
        <v>829</v>
      </c>
      <c r="E10" s="57">
        <v>3014</v>
      </c>
      <c r="G10" s="57">
        <v>2937</v>
      </c>
      <c r="I10" s="57">
        <v>3802</v>
      </c>
      <c r="K10" s="57">
        <v>3332</v>
      </c>
      <c r="M10" s="57">
        <v>4378</v>
      </c>
    </row>
    <row r="11" spans="1:13">
      <c r="A11" s="13" t="s">
        <v>20</v>
      </c>
      <c r="B11" s="13" t="s">
        <v>364</v>
      </c>
      <c r="C11" s="13" t="s">
        <v>201</v>
      </c>
      <c r="E11" s="57">
        <v>2711</v>
      </c>
      <c r="G11" s="57">
        <v>2177</v>
      </c>
      <c r="I11" s="57">
        <v>3634</v>
      </c>
      <c r="K11" s="57">
        <v>1948</v>
      </c>
      <c r="M11" s="57">
        <v>2185</v>
      </c>
    </row>
    <row r="12" spans="1:13">
      <c r="A12" s="13" t="s">
        <v>20</v>
      </c>
      <c r="B12" s="13" t="s">
        <v>365</v>
      </c>
      <c r="C12" s="13" t="s">
        <v>829</v>
      </c>
      <c r="E12" s="13">
        <v>967</v>
      </c>
      <c r="G12" s="57">
        <v>1008</v>
      </c>
      <c r="I12" s="13">
        <v>730</v>
      </c>
      <c r="K12" s="13">
        <v>655</v>
      </c>
      <c r="M12" s="13">
        <v>837</v>
      </c>
    </row>
    <row r="13" spans="1:13">
      <c r="A13" s="13" t="s">
        <v>20</v>
      </c>
      <c r="B13" s="13" t="s">
        <v>365</v>
      </c>
      <c r="C13" s="13" t="s">
        <v>201</v>
      </c>
      <c r="E13" s="57">
        <v>1415</v>
      </c>
      <c r="G13" s="57">
        <v>1516</v>
      </c>
      <c r="I13" s="57">
        <v>1061</v>
      </c>
      <c r="K13" s="57">
        <v>1027</v>
      </c>
      <c r="M13" s="13">
        <v>809</v>
      </c>
    </row>
    <row r="14" spans="1:13">
      <c r="A14" s="13" t="s">
        <v>20</v>
      </c>
      <c r="B14" s="13" t="s">
        <v>366</v>
      </c>
      <c r="C14" s="13" t="s">
        <v>829</v>
      </c>
      <c r="E14" s="57">
        <v>15629</v>
      </c>
      <c r="G14" s="57">
        <v>15480</v>
      </c>
      <c r="I14" s="57">
        <v>10053</v>
      </c>
      <c r="K14" s="57">
        <v>10049</v>
      </c>
      <c r="M14" s="57">
        <v>11680</v>
      </c>
    </row>
    <row r="15" spans="1:13">
      <c r="A15" s="13" t="s">
        <v>20</v>
      </c>
      <c r="B15" s="13" t="s">
        <v>366</v>
      </c>
      <c r="C15" s="13" t="s">
        <v>201</v>
      </c>
      <c r="E15" s="13">
        <v>525</v>
      </c>
      <c r="G15" s="13">
        <v>521</v>
      </c>
      <c r="I15" s="13">
        <v>467</v>
      </c>
      <c r="K15" s="13">
        <v>465</v>
      </c>
      <c r="M15" s="13">
        <v>344</v>
      </c>
    </row>
    <row r="16" spans="1:13">
      <c r="A16" s="35"/>
      <c r="B16" s="35"/>
      <c r="C16" s="35"/>
      <c r="D16" s="35"/>
      <c r="E16" s="35"/>
      <c r="F16" s="35"/>
      <c r="G16" s="35"/>
      <c r="H16" s="35"/>
      <c r="I16" s="35"/>
      <c r="J16" s="35"/>
      <c r="K16" s="35"/>
      <c r="L16" s="35"/>
      <c r="M16" s="35"/>
    </row>
    <row r="19" spans="1:1">
      <c r="A19" s="46" t="str">
        <f>HYPERLINK("[UKMY 2023 PrintableV1.1 12_09_24.xlsx]Contents!A1","Return to contents page")</f>
        <v>Return to contents page</v>
      </c>
    </row>
    <row r="64" spans="5:5">
      <c r="E64" s="47"/>
    </row>
  </sheetData>
  <sortState xmlns:xlrd2="http://schemas.microsoft.com/office/spreadsheetml/2017/richdata2" ref="A3:M15">
    <sortCondition ref="A10:A15"/>
    <sortCondition ref="B10:B15"/>
  </sortState>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EDA4-8EE6-4FE9-8564-8CCE872AB6D2}">
  <dimension ref="A1:M64"/>
  <sheetViews>
    <sheetView view="pageBreakPreview" zoomScaleNormal="100" zoomScaleSheetLayoutView="100" workbookViewId="0">
      <selection activeCell="B7" sqref="B7"/>
    </sheetView>
  </sheetViews>
  <sheetFormatPr defaultColWidth="9.1796875" defaultRowHeight="14"/>
  <cols>
    <col min="1" max="1" width="22.26953125" style="13" customWidth="1"/>
    <col min="2" max="2" width="26.26953125" style="13" bestFit="1" customWidth="1"/>
    <col min="3" max="3" width="15.26953125" style="13" bestFit="1" customWidth="1"/>
    <col min="4" max="4" width="3.81640625" style="13" customWidth="1"/>
    <col min="5" max="5" width="9.1796875" style="13"/>
    <col min="6" max="6" width="3" style="13" customWidth="1"/>
    <col min="7" max="7" width="9.1796875" style="13"/>
    <col min="8" max="8" width="3.54296875" style="13" customWidth="1"/>
    <col min="9" max="9" width="9.1796875" style="13"/>
    <col min="10" max="10" width="3.54296875" style="13" customWidth="1"/>
    <col min="11" max="11" width="9.1796875" style="13"/>
    <col min="12" max="12" width="4" style="13" customWidth="1"/>
    <col min="13" max="16384" width="9.1796875" style="13"/>
  </cols>
  <sheetData>
    <row r="1" spans="1:13" ht="15.5">
      <c r="A1" s="51" t="s">
        <v>367</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61</v>
      </c>
      <c r="C3" s="13" t="s">
        <v>201</v>
      </c>
      <c r="D3" s="13" t="s">
        <v>221</v>
      </c>
      <c r="E3" s="57">
        <v>11000</v>
      </c>
      <c r="F3" s="13" t="s">
        <v>221</v>
      </c>
      <c r="G3" s="57">
        <v>14000</v>
      </c>
      <c r="H3" s="13" t="s">
        <v>221</v>
      </c>
      <c r="I3" s="57">
        <v>15000</v>
      </c>
      <c r="J3" s="13" t="s">
        <v>221</v>
      </c>
      <c r="K3" s="57">
        <v>15000</v>
      </c>
      <c r="L3" s="13" t="s">
        <v>221</v>
      </c>
      <c r="M3" s="57">
        <v>13000</v>
      </c>
    </row>
    <row r="5" spans="1:13">
      <c r="A5" s="13" t="s">
        <v>19</v>
      </c>
      <c r="B5" s="13" t="s">
        <v>61</v>
      </c>
      <c r="C5" s="13" t="s">
        <v>829</v>
      </c>
      <c r="E5" s="13">
        <v>574</v>
      </c>
      <c r="G5" s="13">
        <v>977</v>
      </c>
      <c r="I5" s="13">
        <v>306</v>
      </c>
      <c r="K5" s="13">
        <v>489</v>
      </c>
      <c r="M5" s="57">
        <v>3263</v>
      </c>
    </row>
    <row r="6" spans="1:13">
      <c r="A6" s="13" t="s">
        <v>19</v>
      </c>
      <c r="B6" s="13" t="s">
        <v>61</v>
      </c>
      <c r="C6" s="13" t="s">
        <v>201</v>
      </c>
      <c r="E6" s="57">
        <v>3705</v>
      </c>
      <c r="G6" s="57">
        <v>2718</v>
      </c>
      <c r="I6" s="57">
        <v>1080</v>
      </c>
      <c r="K6" s="57">
        <v>1041</v>
      </c>
      <c r="M6" s="57">
        <v>7189</v>
      </c>
    </row>
    <row r="7" spans="1:13">
      <c r="E7" s="57"/>
      <c r="G7" s="57"/>
      <c r="I7" s="57"/>
      <c r="K7" s="57"/>
      <c r="M7" s="57"/>
    </row>
    <row r="8" spans="1:13">
      <c r="A8" s="13" t="s">
        <v>20</v>
      </c>
      <c r="B8" s="13" t="s">
        <v>61</v>
      </c>
      <c r="C8" s="13" t="s">
        <v>829</v>
      </c>
      <c r="E8" s="57">
        <v>3876</v>
      </c>
      <c r="G8" s="57">
        <v>5514</v>
      </c>
      <c r="I8" s="57">
        <v>5025</v>
      </c>
      <c r="K8" s="57">
        <v>4743</v>
      </c>
      <c r="M8" s="57">
        <v>5909</v>
      </c>
    </row>
    <row r="9" spans="1:13">
      <c r="A9" s="13" t="s">
        <v>20</v>
      </c>
      <c r="B9" s="13" t="s">
        <v>61</v>
      </c>
      <c r="C9" s="13" t="s">
        <v>201</v>
      </c>
      <c r="E9" s="57">
        <v>10535</v>
      </c>
      <c r="G9" s="57">
        <v>14434</v>
      </c>
      <c r="I9" s="57">
        <v>15053</v>
      </c>
      <c r="K9" s="57">
        <v>14773</v>
      </c>
      <c r="M9" s="57">
        <v>12721</v>
      </c>
    </row>
    <row r="10" spans="1:13">
      <c r="A10" s="35"/>
      <c r="B10" s="35"/>
      <c r="C10" s="35"/>
      <c r="D10" s="35"/>
      <c r="E10" s="35"/>
      <c r="F10" s="35"/>
      <c r="G10" s="35"/>
      <c r="H10" s="35"/>
      <c r="I10" s="35"/>
      <c r="J10" s="35"/>
      <c r="K10" s="35"/>
      <c r="L10" s="35"/>
      <c r="M10" s="35"/>
    </row>
    <row r="12" spans="1:13">
      <c r="A12" s="13" t="s">
        <v>14</v>
      </c>
      <c r="B12" s="13" t="s">
        <v>15</v>
      </c>
    </row>
    <row r="13" spans="1:13">
      <c r="A13" s="13" t="s">
        <v>221</v>
      </c>
      <c r="B13" s="13" t="s">
        <v>297</v>
      </c>
    </row>
    <row r="16" spans="1:13">
      <c r="A16"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15E27-0FB5-40B5-8F00-9242F9FFC27A}">
  <dimension ref="A1:M64"/>
  <sheetViews>
    <sheetView view="pageBreakPreview" zoomScaleNormal="100" zoomScaleSheetLayoutView="100" workbookViewId="0">
      <selection activeCell="C31" sqref="C31"/>
    </sheetView>
  </sheetViews>
  <sheetFormatPr defaultColWidth="9.1796875" defaultRowHeight="14"/>
  <cols>
    <col min="1" max="1" width="12.54296875" style="13" customWidth="1"/>
    <col min="2" max="2" width="27.1796875" style="37" customWidth="1"/>
    <col min="3" max="3" width="15.26953125" style="13" bestFit="1" customWidth="1"/>
    <col min="4" max="4" width="3.81640625" style="13" bestFit="1" customWidth="1"/>
    <col min="5" max="5" width="11.26953125" style="13" bestFit="1" customWidth="1"/>
    <col min="6" max="6" width="3.81640625" style="13" bestFit="1" customWidth="1"/>
    <col min="7" max="7" width="11.26953125" style="13" bestFit="1" customWidth="1"/>
    <col min="8" max="8" width="3.81640625" style="13" bestFit="1" customWidth="1"/>
    <col min="9" max="9" width="11.26953125" style="13" bestFit="1" customWidth="1"/>
    <col min="10" max="10" width="3.81640625" style="13" bestFit="1" customWidth="1"/>
    <col min="11" max="11" width="11.26953125" style="13" bestFit="1" customWidth="1"/>
    <col min="12" max="12" width="3.81640625" style="13" bestFit="1" customWidth="1"/>
    <col min="13" max="13" width="11.26953125" style="13" bestFit="1" customWidth="1"/>
    <col min="14" max="16384" width="9.1796875" style="13"/>
  </cols>
  <sheetData>
    <row r="1" spans="1:13" ht="15.5">
      <c r="A1" s="20" t="s">
        <v>504</v>
      </c>
    </row>
    <row r="2" spans="1:13">
      <c r="A2" s="23" t="s">
        <v>670</v>
      </c>
      <c r="B2" s="30" t="s">
        <v>0</v>
      </c>
      <c r="C2" s="30" t="s">
        <v>669</v>
      </c>
      <c r="D2" s="23" t="s">
        <v>1</v>
      </c>
      <c r="E2" s="23">
        <v>2018</v>
      </c>
      <c r="F2" s="23" t="s">
        <v>1</v>
      </c>
      <c r="G2" s="23">
        <v>2019</v>
      </c>
      <c r="H2" s="23" t="s">
        <v>1</v>
      </c>
      <c r="I2" s="23">
        <v>2020</v>
      </c>
      <c r="J2" s="23" t="s">
        <v>1</v>
      </c>
      <c r="K2" s="23">
        <v>2021</v>
      </c>
      <c r="L2" s="23" t="s">
        <v>1</v>
      </c>
      <c r="M2" s="23">
        <v>2022</v>
      </c>
    </row>
    <row r="3" spans="1:13" ht="25.5">
      <c r="A3" s="16" t="s">
        <v>38</v>
      </c>
      <c r="B3" s="15" t="s">
        <v>506</v>
      </c>
      <c r="C3" s="15" t="s">
        <v>507</v>
      </c>
      <c r="D3" s="16" t="s">
        <v>212</v>
      </c>
      <c r="E3" s="60">
        <v>33000</v>
      </c>
      <c r="F3" s="16" t="s">
        <v>212</v>
      </c>
      <c r="G3" s="60">
        <v>31000</v>
      </c>
      <c r="H3" s="16" t="s">
        <v>212</v>
      </c>
      <c r="I3" s="60">
        <v>25000</v>
      </c>
      <c r="J3" s="16" t="s">
        <v>212</v>
      </c>
      <c r="K3" s="60">
        <v>26000</v>
      </c>
      <c r="L3" s="16" t="s">
        <v>212</v>
      </c>
      <c r="M3" s="60">
        <v>27000</v>
      </c>
    </row>
    <row r="4" spans="1:13" ht="25.5">
      <c r="A4" s="16" t="s">
        <v>38</v>
      </c>
      <c r="B4" s="15" t="s">
        <v>508</v>
      </c>
      <c r="C4" s="15" t="s">
        <v>507</v>
      </c>
      <c r="D4" s="16" t="s">
        <v>212</v>
      </c>
      <c r="E4" s="60">
        <v>38710000</v>
      </c>
      <c r="F4" s="16" t="s">
        <v>212</v>
      </c>
      <c r="G4" s="60">
        <v>37507000</v>
      </c>
      <c r="H4" s="16" t="s">
        <v>212</v>
      </c>
      <c r="I4" s="60">
        <v>37781000</v>
      </c>
      <c r="J4" s="16" t="s">
        <v>212</v>
      </c>
      <c r="K4" s="60">
        <v>31297000</v>
      </c>
      <c r="L4" s="16" t="s">
        <v>212</v>
      </c>
      <c r="M4" s="60">
        <v>36390000</v>
      </c>
    </row>
    <row r="5" spans="1:13">
      <c r="A5" s="16"/>
      <c r="B5" s="15"/>
      <c r="C5" s="15"/>
      <c r="D5" s="16"/>
      <c r="E5" s="16"/>
      <c r="F5" s="16"/>
      <c r="G5" s="16"/>
      <c r="H5" s="16"/>
      <c r="I5" s="16"/>
      <c r="J5" s="16"/>
      <c r="K5" s="16"/>
      <c r="L5" s="16"/>
      <c r="M5" s="16"/>
    </row>
    <row r="6" spans="1:13" ht="25.5">
      <c r="A6" s="16" t="s">
        <v>223</v>
      </c>
      <c r="B6" s="15" t="s">
        <v>715</v>
      </c>
      <c r="C6" s="15" t="s">
        <v>507</v>
      </c>
      <c r="D6" s="16" t="s">
        <v>209</v>
      </c>
      <c r="E6" s="60">
        <v>74917000</v>
      </c>
      <c r="F6" s="16" t="s">
        <v>209</v>
      </c>
      <c r="G6" s="60">
        <v>73998000</v>
      </c>
      <c r="H6" s="16" t="s">
        <v>209</v>
      </c>
      <c r="I6" s="60">
        <v>69493000</v>
      </c>
      <c r="J6" s="16" t="s">
        <v>209</v>
      </c>
      <c r="K6" s="60">
        <v>73117000</v>
      </c>
      <c r="L6" s="16" t="s">
        <v>209</v>
      </c>
      <c r="M6" s="60">
        <v>67340000</v>
      </c>
    </row>
    <row r="7" spans="1:13">
      <c r="A7" s="16"/>
      <c r="B7" s="15"/>
      <c r="C7" s="15"/>
      <c r="D7" s="16"/>
      <c r="E7" s="16"/>
      <c r="F7" s="16"/>
      <c r="G7" s="16"/>
      <c r="H7" s="16"/>
      <c r="I7" s="16"/>
      <c r="J7" s="16"/>
      <c r="K7" s="16"/>
      <c r="L7" s="16"/>
      <c r="M7" s="16"/>
    </row>
    <row r="8" spans="1:13">
      <c r="A8" s="16" t="s">
        <v>19</v>
      </c>
      <c r="B8" s="15" t="s">
        <v>39</v>
      </c>
      <c r="C8" s="15" t="s">
        <v>829</v>
      </c>
      <c r="D8" s="16" t="s">
        <v>213</v>
      </c>
      <c r="E8" s="60">
        <v>10845000</v>
      </c>
      <c r="F8" s="16" t="s">
        <v>213</v>
      </c>
      <c r="G8" s="60">
        <v>6770000</v>
      </c>
      <c r="H8" s="16" t="s">
        <v>213</v>
      </c>
      <c r="I8" s="60">
        <v>4505000</v>
      </c>
      <c r="J8" s="16" t="s">
        <v>213</v>
      </c>
      <c r="K8" s="60">
        <v>19880000</v>
      </c>
      <c r="L8" s="16" t="s">
        <v>213</v>
      </c>
      <c r="M8" s="60">
        <v>48345000</v>
      </c>
    </row>
    <row r="9" spans="1:13">
      <c r="A9" s="16" t="s">
        <v>19</v>
      </c>
      <c r="B9" s="15" t="s">
        <v>39</v>
      </c>
      <c r="C9" s="15" t="s">
        <v>201</v>
      </c>
      <c r="D9" s="16" t="s">
        <v>213</v>
      </c>
      <c r="E9" s="60">
        <v>44175654</v>
      </c>
      <c r="F9" s="16" t="s">
        <v>213</v>
      </c>
      <c r="G9" s="60">
        <v>43303938</v>
      </c>
      <c r="H9" s="16" t="s">
        <v>213</v>
      </c>
      <c r="I9" s="60">
        <v>41116995</v>
      </c>
      <c r="J9" s="16" t="s">
        <v>213</v>
      </c>
      <c r="K9" s="60">
        <v>48224257</v>
      </c>
      <c r="L9" s="16" t="s">
        <v>213</v>
      </c>
      <c r="M9" s="60">
        <v>53163752</v>
      </c>
    </row>
    <row r="10" spans="1:13">
      <c r="A10" s="16" t="s">
        <v>19</v>
      </c>
      <c r="B10" s="15" t="s">
        <v>505</v>
      </c>
      <c r="C10" s="15" t="s">
        <v>829</v>
      </c>
      <c r="D10" s="16" t="s">
        <v>211</v>
      </c>
      <c r="E10" s="60">
        <v>322814</v>
      </c>
      <c r="F10" s="16" t="s">
        <v>211</v>
      </c>
      <c r="G10" s="60">
        <v>216678</v>
      </c>
      <c r="H10" s="16" t="s">
        <v>211</v>
      </c>
      <c r="I10" s="60">
        <v>142599</v>
      </c>
      <c r="J10" s="16" t="s">
        <v>211</v>
      </c>
      <c r="K10" s="60">
        <v>421335</v>
      </c>
      <c r="L10" s="16" t="s">
        <v>211</v>
      </c>
      <c r="M10" s="60">
        <v>628890</v>
      </c>
    </row>
    <row r="11" spans="1:13">
      <c r="A11" s="16" t="s">
        <v>19</v>
      </c>
      <c r="B11" s="15" t="s">
        <v>505</v>
      </c>
      <c r="C11" s="15" t="s">
        <v>201</v>
      </c>
      <c r="D11" s="16" t="s">
        <v>211</v>
      </c>
      <c r="E11" s="60">
        <v>801671</v>
      </c>
      <c r="F11" s="16" t="s">
        <v>211</v>
      </c>
      <c r="G11" s="60">
        <v>548543</v>
      </c>
      <c r="H11" s="16" t="s">
        <v>211</v>
      </c>
      <c r="I11" s="60">
        <v>429640</v>
      </c>
      <c r="J11" s="16" t="s">
        <v>211</v>
      </c>
      <c r="K11" s="60">
        <v>810350</v>
      </c>
      <c r="L11" s="16" t="s">
        <v>211</v>
      </c>
      <c r="M11" s="60">
        <v>1035392</v>
      </c>
    </row>
    <row r="12" spans="1:13">
      <c r="A12" s="16" t="s">
        <v>19</v>
      </c>
      <c r="B12" s="15" t="s">
        <v>686</v>
      </c>
      <c r="C12" s="15" t="s">
        <v>201</v>
      </c>
      <c r="D12" s="16" t="s">
        <v>213</v>
      </c>
      <c r="E12" s="60">
        <v>37744835</v>
      </c>
      <c r="F12" s="16" t="s">
        <v>213</v>
      </c>
      <c r="G12" s="60">
        <v>27304881</v>
      </c>
      <c r="H12" s="16" t="s">
        <v>213</v>
      </c>
      <c r="I12" s="60">
        <v>23914320</v>
      </c>
      <c r="J12" s="16" t="s">
        <v>213</v>
      </c>
      <c r="K12" s="60">
        <v>34478351</v>
      </c>
      <c r="L12" s="16" t="s">
        <v>213</v>
      </c>
      <c r="M12" s="60">
        <v>29274281</v>
      </c>
    </row>
    <row r="13" spans="1:13">
      <c r="A13" s="16" t="s">
        <v>19</v>
      </c>
      <c r="B13" s="15" t="s">
        <v>687</v>
      </c>
      <c r="C13" s="15" t="s">
        <v>201</v>
      </c>
      <c r="D13" s="16" t="s">
        <v>213</v>
      </c>
      <c r="E13" s="60">
        <v>6430818</v>
      </c>
      <c r="F13" s="16" t="s">
        <v>213</v>
      </c>
      <c r="G13" s="60">
        <v>15999057</v>
      </c>
      <c r="H13" s="16" t="s">
        <v>213</v>
      </c>
      <c r="I13" s="60">
        <v>17202675</v>
      </c>
      <c r="J13" s="16" t="s">
        <v>213</v>
      </c>
      <c r="K13" s="60">
        <v>13745906</v>
      </c>
      <c r="L13" s="16" t="s">
        <v>213</v>
      </c>
      <c r="M13" s="60">
        <v>23889471</v>
      </c>
    </row>
    <row r="14" spans="1:13">
      <c r="A14" s="16"/>
      <c r="B14" s="15"/>
      <c r="C14" s="15"/>
      <c r="D14" s="16"/>
      <c r="E14" s="16"/>
      <c r="F14" s="16"/>
      <c r="G14" s="16"/>
      <c r="H14" s="16"/>
      <c r="I14" s="16"/>
      <c r="J14" s="16"/>
      <c r="K14" s="16"/>
      <c r="L14" s="16"/>
      <c r="M14" s="16"/>
    </row>
    <row r="15" spans="1:13">
      <c r="A15" s="16" t="s">
        <v>20</v>
      </c>
      <c r="B15" s="15" t="s">
        <v>39</v>
      </c>
      <c r="C15" s="15" t="s">
        <v>829</v>
      </c>
      <c r="D15" s="16" t="s">
        <v>213</v>
      </c>
      <c r="E15" s="60">
        <v>1820000</v>
      </c>
      <c r="F15" s="16" t="s">
        <v>213</v>
      </c>
      <c r="G15" s="60">
        <v>1125000</v>
      </c>
      <c r="H15" s="16" t="s">
        <v>213</v>
      </c>
      <c r="I15" s="60">
        <v>825000</v>
      </c>
      <c r="J15" s="16" t="s">
        <v>213</v>
      </c>
      <c r="K15" s="60">
        <v>3225000</v>
      </c>
      <c r="L15" s="16" t="s">
        <v>213</v>
      </c>
      <c r="M15" s="60">
        <v>18385000</v>
      </c>
    </row>
    <row r="16" spans="1:13">
      <c r="A16" s="16" t="s">
        <v>20</v>
      </c>
      <c r="B16" s="15" t="s">
        <v>39</v>
      </c>
      <c r="C16" s="15" t="s">
        <v>201</v>
      </c>
      <c r="D16" s="16" t="s">
        <v>213</v>
      </c>
      <c r="E16" s="60">
        <v>7194881</v>
      </c>
      <c r="F16" s="16" t="s">
        <v>213</v>
      </c>
      <c r="G16" s="60">
        <v>7892907</v>
      </c>
      <c r="H16" s="16" t="s">
        <v>213</v>
      </c>
      <c r="I16" s="60">
        <v>9116990</v>
      </c>
      <c r="J16" s="16" t="s">
        <v>213</v>
      </c>
      <c r="K16" s="60">
        <v>6540879</v>
      </c>
      <c r="L16" s="16" t="s">
        <v>213</v>
      </c>
      <c r="M16" s="60">
        <v>22344406</v>
      </c>
    </row>
    <row r="17" spans="1:13">
      <c r="A17" s="16" t="s">
        <v>20</v>
      </c>
      <c r="B17" s="15" t="s">
        <v>505</v>
      </c>
      <c r="C17" s="15" t="s">
        <v>829</v>
      </c>
      <c r="D17" s="16" t="s">
        <v>211</v>
      </c>
      <c r="E17" s="60">
        <v>1171313</v>
      </c>
      <c r="F17" s="16" t="s">
        <v>211</v>
      </c>
      <c r="G17" s="60">
        <v>1025506</v>
      </c>
      <c r="H17" s="16" t="s">
        <v>211</v>
      </c>
      <c r="I17" s="60">
        <v>703473</v>
      </c>
      <c r="J17" s="16" t="s">
        <v>211</v>
      </c>
      <c r="K17" s="60">
        <v>1030817</v>
      </c>
      <c r="L17" s="16" t="s">
        <v>211</v>
      </c>
      <c r="M17" s="60">
        <v>1264692</v>
      </c>
    </row>
    <row r="18" spans="1:13">
      <c r="A18" s="16" t="s">
        <v>20</v>
      </c>
      <c r="B18" s="15" t="s">
        <v>505</v>
      </c>
      <c r="C18" s="15" t="s">
        <v>201</v>
      </c>
      <c r="D18" s="16" t="s">
        <v>211</v>
      </c>
      <c r="E18" s="60">
        <v>2838830</v>
      </c>
      <c r="F18" s="16" t="s">
        <v>211</v>
      </c>
      <c r="G18" s="60">
        <v>2883818</v>
      </c>
      <c r="H18" s="16" t="s">
        <v>211</v>
      </c>
      <c r="I18" s="60">
        <v>2563479</v>
      </c>
      <c r="J18" s="16" t="s">
        <v>211</v>
      </c>
      <c r="K18" s="60">
        <v>2331982</v>
      </c>
      <c r="L18" s="16" t="s">
        <v>211</v>
      </c>
      <c r="M18" s="60">
        <v>2076899</v>
      </c>
    </row>
    <row r="19" spans="1:13">
      <c r="A19" s="26"/>
      <c r="B19" s="34"/>
      <c r="C19" s="34"/>
      <c r="D19" s="26"/>
      <c r="E19" s="26"/>
      <c r="F19" s="26"/>
      <c r="G19" s="26"/>
      <c r="H19" s="26"/>
      <c r="I19" s="26"/>
      <c r="J19" s="26"/>
      <c r="K19" s="26"/>
      <c r="L19" s="26"/>
      <c r="M19" s="26"/>
    </row>
    <row r="20" spans="1:13" ht="6" customHeight="1">
      <c r="A20" s="16"/>
      <c r="B20" s="15"/>
      <c r="C20" s="16"/>
      <c r="D20" s="16"/>
      <c r="E20" s="16"/>
      <c r="F20" s="16"/>
      <c r="G20" s="16"/>
      <c r="H20" s="16"/>
      <c r="I20" s="16"/>
      <c r="J20" s="16"/>
      <c r="K20" s="16"/>
      <c r="L20" s="16"/>
      <c r="M20" s="16"/>
    </row>
    <row r="21" spans="1:13">
      <c r="A21" s="16" t="s">
        <v>14</v>
      </c>
      <c r="B21" s="15" t="s">
        <v>15</v>
      </c>
      <c r="C21" s="16"/>
      <c r="D21" s="16"/>
      <c r="E21" s="16"/>
      <c r="F21" s="16"/>
      <c r="G21" s="16"/>
      <c r="H21" s="16"/>
      <c r="I21" s="16"/>
      <c r="J21" s="16"/>
      <c r="K21" s="16"/>
      <c r="L21" s="16"/>
      <c r="M21" s="16"/>
    </row>
    <row r="22" spans="1:13">
      <c r="A22" s="16" t="s">
        <v>215</v>
      </c>
      <c r="B22" s="105" t="s">
        <v>509</v>
      </c>
      <c r="C22" s="105"/>
      <c r="D22" s="105"/>
      <c r="E22" s="105"/>
      <c r="F22" s="105"/>
      <c r="G22" s="105"/>
      <c r="H22" s="105"/>
      <c r="I22" s="105"/>
      <c r="J22" s="105"/>
      <c r="K22" s="105"/>
      <c r="L22" s="105"/>
      <c r="M22" s="16"/>
    </row>
    <row r="23" spans="1:13">
      <c r="A23" s="16" t="s">
        <v>216</v>
      </c>
      <c r="B23" s="105" t="s">
        <v>510</v>
      </c>
      <c r="C23" s="105"/>
      <c r="D23" s="105"/>
      <c r="E23" s="105"/>
      <c r="F23" s="105"/>
      <c r="G23" s="105"/>
      <c r="H23" s="105"/>
      <c r="I23" s="105"/>
      <c r="J23" s="105"/>
      <c r="K23" s="105"/>
      <c r="L23" s="105"/>
      <c r="M23" s="16"/>
    </row>
    <row r="24" spans="1:13" ht="31.5" customHeight="1">
      <c r="A24" s="16" t="s">
        <v>217</v>
      </c>
      <c r="B24" s="108" t="s">
        <v>511</v>
      </c>
      <c r="C24" s="108"/>
      <c r="D24" s="108"/>
      <c r="E24" s="108"/>
      <c r="F24" s="108"/>
      <c r="G24" s="108"/>
      <c r="H24" s="108"/>
      <c r="I24" s="108"/>
      <c r="J24" s="108"/>
      <c r="K24" s="108"/>
      <c r="L24" s="108"/>
      <c r="M24" s="16"/>
    </row>
    <row r="25" spans="1:13">
      <c r="A25" s="16" t="s">
        <v>218</v>
      </c>
      <c r="B25" s="105" t="s">
        <v>512</v>
      </c>
      <c r="C25" s="105"/>
      <c r="D25" s="105"/>
      <c r="E25" s="105"/>
      <c r="F25" s="105"/>
      <c r="G25" s="105"/>
      <c r="H25" s="105"/>
      <c r="I25" s="105"/>
      <c r="J25" s="105"/>
      <c r="K25" s="105"/>
      <c r="L25" s="105"/>
      <c r="M25" s="16"/>
    </row>
    <row r="26" spans="1:13" ht="6.75" customHeight="1">
      <c r="A26" s="16"/>
      <c r="B26" s="15"/>
      <c r="C26" s="16"/>
      <c r="D26" s="16"/>
      <c r="E26" s="16"/>
      <c r="F26" s="16"/>
      <c r="G26" s="16"/>
      <c r="H26" s="16"/>
      <c r="I26" s="16"/>
      <c r="J26" s="16"/>
      <c r="K26" s="16"/>
      <c r="L26" s="16"/>
      <c r="M26" s="16"/>
    </row>
    <row r="27" spans="1:13" ht="29.25" customHeight="1">
      <c r="A27" s="105" t="s">
        <v>792</v>
      </c>
      <c r="B27" s="105"/>
      <c r="C27" s="105"/>
      <c r="D27" s="105"/>
      <c r="E27" s="105"/>
      <c r="F27" s="105"/>
      <c r="G27" s="105"/>
      <c r="H27" s="105"/>
      <c r="I27" s="105"/>
      <c r="J27" s="105"/>
      <c r="K27" s="105"/>
      <c r="L27" s="105"/>
      <c r="M27" s="16"/>
    </row>
    <row r="28" spans="1:13">
      <c r="A28" s="16" t="s">
        <v>793</v>
      </c>
      <c r="B28" s="15"/>
      <c r="C28" s="16"/>
      <c r="D28" s="16"/>
      <c r="E28" s="16"/>
      <c r="F28" s="16"/>
      <c r="G28" s="16"/>
      <c r="H28" s="16"/>
      <c r="I28" s="16"/>
      <c r="J28" s="16"/>
      <c r="K28" s="16"/>
      <c r="L28" s="16"/>
      <c r="M28" s="16"/>
    </row>
    <row r="29" spans="1:13" ht="6.75" customHeight="1">
      <c r="A29" s="16"/>
      <c r="B29" s="15"/>
      <c r="C29" s="16"/>
      <c r="D29" s="16"/>
      <c r="E29" s="16"/>
      <c r="F29" s="16"/>
      <c r="G29" s="16"/>
      <c r="H29" s="16"/>
      <c r="I29" s="16"/>
      <c r="J29" s="16"/>
      <c r="K29" s="16"/>
      <c r="L29" s="16"/>
      <c r="M29" s="16"/>
    </row>
    <row r="30" spans="1:13" ht="6.75" customHeight="1">
      <c r="A30" s="16"/>
      <c r="B30" s="15"/>
      <c r="C30" s="16"/>
      <c r="D30" s="16"/>
      <c r="E30" s="16"/>
      <c r="F30" s="16"/>
      <c r="G30" s="16"/>
      <c r="H30" s="16"/>
      <c r="I30" s="16"/>
      <c r="J30" s="16"/>
      <c r="K30" s="16"/>
      <c r="L30" s="16"/>
      <c r="M30" s="16"/>
    </row>
    <row r="31" spans="1:13">
      <c r="A31" s="28" t="str">
        <f>HYPERLINK("[UKMY 2023 PrintableV1.1 12_09_24.xlsx]Contents!A1","Return to contents page")</f>
        <v>Return to contents page</v>
      </c>
      <c r="B31" s="15"/>
      <c r="C31" s="16"/>
      <c r="D31" s="16"/>
      <c r="E31" s="16"/>
      <c r="F31" s="16"/>
      <c r="G31" s="16"/>
      <c r="H31" s="16"/>
      <c r="I31" s="16"/>
      <c r="J31" s="16"/>
      <c r="K31" s="16"/>
      <c r="L31" s="16"/>
      <c r="M31" s="16"/>
    </row>
    <row r="64" spans="5:5">
      <c r="E64" s="47"/>
    </row>
  </sheetData>
  <sortState xmlns:xlrd2="http://schemas.microsoft.com/office/spreadsheetml/2017/richdata2" ref="A3:M18">
    <sortCondition ref="A6:A18"/>
    <sortCondition ref="B6:B18"/>
  </sortState>
  <mergeCells count="5">
    <mergeCell ref="B22:L22"/>
    <mergeCell ref="B23:L23"/>
    <mergeCell ref="B24:L24"/>
    <mergeCell ref="B25:L25"/>
    <mergeCell ref="A27:L2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43423-30A2-4BD7-A4B1-FCBEA7B44A56}">
  <dimension ref="A1:L68"/>
  <sheetViews>
    <sheetView view="pageBreakPreview" zoomScaleNormal="100" zoomScaleSheetLayoutView="100" workbookViewId="0">
      <selection activeCell="A67" sqref="A67"/>
    </sheetView>
  </sheetViews>
  <sheetFormatPr defaultColWidth="9.1796875" defaultRowHeight="14"/>
  <cols>
    <col min="1" max="1" width="50" style="37" customWidth="1"/>
    <col min="2" max="2" width="16" style="13" customWidth="1"/>
    <col min="3" max="3" width="2.1796875" style="13" bestFit="1" customWidth="1"/>
    <col min="4" max="4" width="10.453125" style="13" bestFit="1" customWidth="1"/>
    <col min="5" max="5" width="2.1796875" style="13" bestFit="1" customWidth="1"/>
    <col min="6" max="6" width="10.453125" style="13" bestFit="1" customWidth="1"/>
    <col min="7" max="7" width="2.1796875" style="13" bestFit="1" customWidth="1"/>
    <col min="8" max="8" width="10.453125" style="13" bestFit="1" customWidth="1"/>
    <col min="9" max="9" width="2.1796875" style="13" bestFit="1" customWidth="1"/>
    <col min="10" max="10" width="11.453125" style="13" bestFit="1" customWidth="1"/>
    <col min="11" max="11" width="2.1796875" style="13" bestFit="1" customWidth="1"/>
    <col min="12" max="12" width="11.453125" style="13" bestFit="1" customWidth="1"/>
    <col min="13" max="16384" width="9.1796875" style="13"/>
  </cols>
  <sheetData>
    <row r="1" spans="1:12" ht="15.5">
      <c r="A1" s="29" t="s">
        <v>815</v>
      </c>
      <c r="L1" s="22" t="s">
        <v>812</v>
      </c>
    </row>
    <row r="2" spans="1:12">
      <c r="A2" s="30" t="s">
        <v>0</v>
      </c>
      <c r="B2" s="23" t="s">
        <v>16</v>
      </c>
      <c r="C2" s="23" t="s">
        <v>1</v>
      </c>
      <c r="D2" s="23">
        <v>2018</v>
      </c>
      <c r="E2" s="23" t="s">
        <v>1</v>
      </c>
      <c r="F2" s="23">
        <v>2019</v>
      </c>
      <c r="G2" s="23" t="s">
        <v>1</v>
      </c>
      <c r="H2" s="23">
        <v>2020</v>
      </c>
      <c r="I2" s="23" t="s">
        <v>1</v>
      </c>
      <c r="J2" s="23">
        <v>2021</v>
      </c>
      <c r="K2" s="23" t="s">
        <v>1</v>
      </c>
      <c r="L2" s="23">
        <v>2022</v>
      </c>
    </row>
    <row r="3" spans="1:12">
      <c r="A3" s="15" t="s">
        <v>18</v>
      </c>
      <c r="B3" s="16" t="s">
        <v>19</v>
      </c>
      <c r="C3" s="16"/>
      <c r="D3" s="31">
        <v>719</v>
      </c>
      <c r="E3" s="31"/>
      <c r="F3" s="31">
        <v>746.2</v>
      </c>
      <c r="G3" s="31"/>
      <c r="H3" s="31">
        <v>642.79999999999995</v>
      </c>
      <c r="I3" s="31"/>
      <c r="J3" s="31">
        <v>753.9</v>
      </c>
      <c r="K3" s="31"/>
      <c r="L3" s="31">
        <v>592</v>
      </c>
    </row>
    <row r="4" spans="1:12">
      <c r="A4" s="15" t="s">
        <v>18</v>
      </c>
      <c r="B4" s="16" t="s">
        <v>20</v>
      </c>
      <c r="C4" s="16"/>
      <c r="D4" s="31">
        <v>499.8</v>
      </c>
      <c r="E4" s="31"/>
      <c r="F4" s="31">
        <v>481.6</v>
      </c>
      <c r="G4" s="31"/>
      <c r="H4" s="31">
        <v>421.4</v>
      </c>
      <c r="I4" s="31"/>
      <c r="J4" s="31">
        <v>490.2</v>
      </c>
      <c r="K4" s="31"/>
      <c r="L4" s="31">
        <v>927.7</v>
      </c>
    </row>
    <row r="5" spans="1:12">
      <c r="A5" s="15" t="s">
        <v>18</v>
      </c>
      <c r="B5" s="16" t="s">
        <v>21</v>
      </c>
      <c r="C5" s="16"/>
      <c r="D5" s="31">
        <v>-219.2</v>
      </c>
      <c r="E5" s="31"/>
      <c r="F5" s="31">
        <v>-264.60000000000002</v>
      </c>
      <c r="G5" s="31"/>
      <c r="H5" s="31">
        <v>-221.4</v>
      </c>
      <c r="I5" s="31"/>
      <c r="J5" s="31">
        <v>-263.7</v>
      </c>
      <c r="K5" s="31"/>
      <c r="L5" s="31">
        <v>335.7</v>
      </c>
    </row>
    <row r="6" spans="1:12">
      <c r="A6" s="15"/>
      <c r="B6" s="16"/>
      <c r="C6" s="16"/>
      <c r="D6" s="31"/>
      <c r="E6" s="31"/>
      <c r="F6" s="31"/>
      <c r="G6" s="31"/>
      <c r="H6" s="31"/>
      <c r="I6" s="31"/>
      <c r="J6" s="31"/>
      <c r="K6" s="31"/>
      <c r="L6" s="31"/>
    </row>
    <row r="7" spans="1:12">
      <c r="A7" s="15" t="s">
        <v>22</v>
      </c>
      <c r="B7" s="16" t="s">
        <v>19</v>
      </c>
      <c r="C7" s="16"/>
      <c r="D7" s="31">
        <v>3069</v>
      </c>
      <c r="E7" s="31"/>
      <c r="F7" s="31">
        <v>3251.2</v>
      </c>
      <c r="G7" s="31"/>
      <c r="H7" s="31">
        <v>4073.3</v>
      </c>
      <c r="I7" s="31"/>
      <c r="J7" s="31">
        <v>5568.2</v>
      </c>
      <c r="K7" s="31"/>
      <c r="L7" s="31">
        <v>7174.5</v>
      </c>
    </row>
    <row r="8" spans="1:12">
      <c r="A8" s="15" t="s">
        <v>22</v>
      </c>
      <c r="B8" s="16" t="s">
        <v>20</v>
      </c>
      <c r="C8" s="16"/>
      <c r="D8" s="31">
        <v>4459.6000000000004</v>
      </c>
      <c r="E8" s="31"/>
      <c r="F8" s="31">
        <v>4239.3</v>
      </c>
      <c r="G8" s="31"/>
      <c r="H8" s="31">
        <v>4177.8999999999996</v>
      </c>
      <c r="I8" s="31"/>
      <c r="J8" s="31">
        <v>6844</v>
      </c>
      <c r="K8" s="31"/>
      <c r="L8" s="31">
        <v>5181.8999999999996</v>
      </c>
    </row>
    <row r="9" spans="1:12">
      <c r="A9" s="15" t="s">
        <v>22</v>
      </c>
      <c r="B9" s="16" t="s">
        <v>21</v>
      </c>
      <c r="C9" s="16"/>
      <c r="D9" s="31">
        <v>1390.6</v>
      </c>
      <c r="E9" s="31"/>
      <c r="F9" s="31">
        <v>988.1</v>
      </c>
      <c r="G9" s="31"/>
      <c r="H9" s="31">
        <v>104.6</v>
      </c>
      <c r="I9" s="31"/>
      <c r="J9" s="31">
        <v>1275.8</v>
      </c>
      <c r="K9" s="31"/>
      <c r="L9" s="31">
        <v>-1992.6</v>
      </c>
    </row>
    <row r="10" spans="1:12">
      <c r="A10" s="15"/>
      <c r="B10" s="16"/>
      <c r="C10" s="16"/>
      <c r="D10" s="31"/>
      <c r="E10" s="31"/>
      <c r="F10" s="31"/>
      <c r="G10" s="31"/>
      <c r="H10" s="31"/>
      <c r="I10" s="31"/>
      <c r="J10" s="31"/>
      <c r="K10" s="31"/>
      <c r="L10" s="31"/>
    </row>
    <row r="11" spans="1:12">
      <c r="A11" s="15" t="s">
        <v>23</v>
      </c>
      <c r="B11" s="16" t="s">
        <v>19</v>
      </c>
      <c r="C11" s="16"/>
      <c r="D11" s="31">
        <v>1216.4000000000001</v>
      </c>
      <c r="E11" s="31"/>
      <c r="F11" s="31">
        <v>904.5</v>
      </c>
      <c r="G11" s="31"/>
      <c r="H11" s="31">
        <v>586.4</v>
      </c>
      <c r="I11" s="31"/>
      <c r="J11" s="31">
        <v>964.6</v>
      </c>
      <c r="K11" s="31"/>
      <c r="L11" s="31">
        <v>2294.8000000000002</v>
      </c>
    </row>
    <row r="12" spans="1:12">
      <c r="A12" s="15" t="s">
        <v>23</v>
      </c>
      <c r="B12" s="16" t="s">
        <v>20</v>
      </c>
      <c r="C12" s="16"/>
      <c r="D12" s="31">
        <v>137.19999999999999</v>
      </c>
      <c r="E12" s="31"/>
      <c r="F12" s="31">
        <v>141.9</v>
      </c>
      <c r="G12" s="31"/>
      <c r="H12" s="31">
        <v>157.1</v>
      </c>
      <c r="I12" s="31"/>
      <c r="J12" s="31">
        <v>144.19999999999999</v>
      </c>
      <c r="K12" s="31"/>
      <c r="L12" s="31">
        <v>206.9</v>
      </c>
    </row>
    <row r="13" spans="1:12">
      <c r="A13" s="15" t="s">
        <v>23</v>
      </c>
      <c r="B13" s="16" t="s">
        <v>21</v>
      </c>
      <c r="C13" s="16"/>
      <c r="D13" s="31">
        <v>-1079.2</v>
      </c>
      <c r="E13" s="31"/>
      <c r="F13" s="31">
        <v>-762.6</v>
      </c>
      <c r="G13" s="31"/>
      <c r="H13" s="31">
        <v>-429.3</v>
      </c>
      <c r="I13" s="31"/>
      <c r="J13" s="31">
        <v>-820.4</v>
      </c>
      <c r="K13" s="31"/>
      <c r="L13" s="31">
        <v>-2087.9</v>
      </c>
    </row>
    <row r="14" spans="1:12">
      <c r="A14" s="15"/>
      <c r="B14" s="16"/>
      <c r="C14" s="16"/>
      <c r="D14" s="31"/>
      <c r="E14" s="31"/>
      <c r="F14" s="31"/>
      <c r="G14" s="31"/>
      <c r="H14" s="31"/>
      <c r="I14" s="31"/>
      <c r="J14" s="31"/>
      <c r="K14" s="31"/>
      <c r="L14" s="31"/>
    </row>
    <row r="15" spans="1:12" ht="25.5">
      <c r="A15" s="15" t="s">
        <v>24</v>
      </c>
      <c r="B15" s="16" t="s">
        <v>19</v>
      </c>
      <c r="C15" s="16"/>
      <c r="D15" s="31">
        <v>37078.699999999997</v>
      </c>
      <c r="E15" s="31"/>
      <c r="F15" s="31">
        <v>35431.5</v>
      </c>
      <c r="G15" s="31"/>
      <c r="H15" s="31">
        <v>20177.8</v>
      </c>
      <c r="I15" s="31"/>
      <c r="J15" s="31">
        <v>27757.4</v>
      </c>
      <c r="K15" s="31"/>
      <c r="L15" s="31">
        <v>57615.4</v>
      </c>
    </row>
    <row r="16" spans="1:12" ht="25.5">
      <c r="A16" s="15" t="s">
        <v>24</v>
      </c>
      <c r="B16" s="16" t="s">
        <v>20</v>
      </c>
      <c r="C16" s="16"/>
      <c r="D16" s="31">
        <v>31929.1</v>
      </c>
      <c r="E16" s="31"/>
      <c r="F16" s="31">
        <v>29223.8</v>
      </c>
      <c r="G16" s="31"/>
      <c r="H16" s="31">
        <v>19138</v>
      </c>
      <c r="I16" s="31"/>
      <c r="J16" s="31">
        <v>21472.2</v>
      </c>
      <c r="K16" s="31"/>
      <c r="L16" s="31">
        <v>37890.400000000001</v>
      </c>
    </row>
    <row r="17" spans="1:12" ht="25.5">
      <c r="A17" s="15" t="s">
        <v>24</v>
      </c>
      <c r="B17" s="16" t="s">
        <v>21</v>
      </c>
      <c r="C17" s="16"/>
      <c r="D17" s="31">
        <v>-5149.6000000000004</v>
      </c>
      <c r="E17" s="31"/>
      <c r="F17" s="31">
        <v>-6207.7</v>
      </c>
      <c r="G17" s="31"/>
      <c r="H17" s="31">
        <v>-1039.8</v>
      </c>
      <c r="I17" s="31"/>
      <c r="J17" s="31">
        <v>-6285.2</v>
      </c>
      <c r="K17" s="31"/>
      <c r="L17" s="31">
        <v>-19725</v>
      </c>
    </row>
    <row r="18" spans="1:12">
      <c r="A18" s="15"/>
      <c r="B18" s="16"/>
      <c r="C18" s="16"/>
      <c r="D18" s="31"/>
      <c r="E18" s="31"/>
      <c r="F18" s="31"/>
      <c r="G18" s="31"/>
      <c r="H18" s="31"/>
      <c r="I18" s="31"/>
      <c r="J18" s="31"/>
      <c r="K18" s="31"/>
      <c r="L18" s="31"/>
    </row>
    <row r="19" spans="1:12">
      <c r="A19" s="15" t="s">
        <v>25</v>
      </c>
      <c r="B19" s="16" t="s">
        <v>19</v>
      </c>
      <c r="C19" s="16"/>
      <c r="D19" s="31">
        <v>10810.5</v>
      </c>
      <c r="E19" s="31"/>
      <c r="F19" s="31">
        <v>6576.2</v>
      </c>
      <c r="G19" s="31"/>
      <c r="H19" s="31">
        <v>4686.1000000000004</v>
      </c>
      <c r="I19" s="31"/>
      <c r="J19" s="31">
        <v>19495.5</v>
      </c>
      <c r="K19" s="31"/>
      <c r="L19" s="31">
        <v>48435</v>
      </c>
    </row>
    <row r="20" spans="1:12">
      <c r="A20" s="15" t="s">
        <v>25</v>
      </c>
      <c r="B20" s="16" t="s">
        <v>20</v>
      </c>
      <c r="C20" s="16"/>
      <c r="D20" s="31">
        <v>2817.4</v>
      </c>
      <c r="E20" s="31"/>
      <c r="F20" s="31">
        <v>2165.1999999999998</v>
      </c>
      <c r="G20" s="31"/>
      <c r="H20" s="31">
        <v>1281.9000000000001</v>
      </c>
      <c r="I20" s="31"/>
      <c r="J20" s="31">
        <v>3319.9</v>
      </c>
      <c r="K20" s="31"/>
      <c r="L20" s="31">
        <v>8488.9</v>
      </c>
    </row>
    <row r="21" spans="1:12">
      <c r="A21" s="15" t="s">
        <v>25</v>
      </c>
      <c r="B21" s="16" t="s">
        <v>21</v>
      </c>
      <c r="C21" s="16"/>
      <c r="D21" s="31">
        <v>-7993.1</v>
      </c>
      <c r="E21" s="31"/>
      <c r="F21" s="31">
        <v>-4411</v>
      </c>
      <c r="G21" s="31"/>
      <c r="H21" s="31">
        <v>-3404.2</v>
      </c>
      <c r="I21" s="31"/>
      <c r="J21" s="31">
        <v>-16175.6</v>
      </c>
      <c r="K21" s="31"/>
      <c r="L21" s="31">
        <v>-39946.1</v>
      </c>
    </row>
    <row r="22" spans="1:12">
      <c r="A22" s="15"/>
      <c r="B22" s="16"/>
      <c r="C22" s="16"/>
      <c r="D22" s="31"/>
      <c r="E22" s="31"/>
      <c r="F22" s="31"/>
      <c r="G22" s="31"/>
      <c r="H22" s="31"/>
      <c r="I22" s="31"/>
      <c r="J22" s="31"/>
      <c r="K22" s="31"/>
      <c r="L22" s="31"/>
    </row>
    <row r="23" spans="1:12">
      <c r="A23" s="15" t="s">
        <v>26</v>
      </c>
      <c r="B23" s="16" t="s">
        <v>19</v>
      </c>
      <c r="C23" s="16"/>
      <c r="D23" s="31">
        <v>8159</v>
      </c>
      <c r="E23" s="31"/>
      <c r="F23" s="31">
        <v>8014.8</v>
      </c>
      <c r="G23" s="31"/>
      <c r="H23" s="31">
        <v>7507.3</v>
      </c>
      <c r="I23" s="31"/>
      <c r="J23" s="31">
        <v>9029.6</v>
      </c>
      <c r="K23" s="31"/>
      <c r="L23" s="31">
        <v>9569.5</v>
      </c>
    </row>
    <row r="24" spans="1:12">
      <c r="A24" s="15" t="s">
        <v>26</v>
      </c>
      <c r="B24" s="16" t="s">
        <v>20</v>
      </c>
      <c r="C24" s="16"/>
      <c r="D24" s="31">
        <v>8502.2000000000007</v>
      </c>
      <c r="E24" s="31"/>
      <c r="F24" s="31">
        <v>8687.2999999999993</v>
      </c>
      <c r="G24" s="31"/>
      <c r="H24" s="31">
        <v>9251.9</v>
      </c>
      <c r="I24" s="31"/>
      <c r="J24" s="31">
        <v>7332.5</v>
      </c>
      <c r="K24" s="31"/>
      <c r="L24" s="31">
        <v>12686.5</v>
      </c>
    </row>
    <row r="25" spans="1:12">
      <c r="A25" s="15" t="s">
        <v>26</v>
      </c>
      <c r="B25" s="16" t="s">
        <v>21</v>
      </c>
      <c r="C25" s="16"/>
      <c r="D25" s="31">
        <v>343.2</v>
      </c>
      <c r="E25" s="31"/>
      <c r="F25" s="31">
        <v>672.5</v>
      </c>
      <c r="G25" s="31"/>
      <c r="H25" s="31">
        <v>1744.6</v>
      </c>
      <c r="I25" s="31"/>
      <c r="J25" s="31">
        <v>-1697.1</v>
      </c>
      <c r="K25" s="31"/>
      <c r="L25" s="31">
        <v>3117</v>
      </c>
    </row>
    <row r="26" spans="1:12">
      <c r="A26" s="15"/>
      <c r="B26" s="16"/>
      <c r="C26" s="16"/>
      <c r="D26" s="31"/>
      <c r="E26" s="31"/>
      <c r="F26" s="31"/>
      <c r="G26" s="31"/>
      <c r="H26" s="31"/>
      <c r="I26" s="31"/>
      <c r="J26" s="31"/>
      <c r="K26" s="31"/>
      <c r="L26" s="31"/>
    </row>
    <row r="27" spans="1:12">
      <c r="A27" s="15" t="s">
        <v>27</v>
      </c>
      <c r="B27" s="16" t="s">
        <v>19</v>
      </c>
      <c r="C27" s="16"/>
      <c r="D27" s="31">
        <v>2329</v>
      </c>
      <c r="E27" s="31"/>
      <c r="F27" s="31">
        <v>2177.6999999999998</v>
      </c>
      <c r="G27" s="31"/>
      <c r="H27" s="31">
        <v>1589.9</v>
      </c>
      <c r="I27" s="31"/>
      <c r="J27" s="31">
        <v>2114.1</v>
      </c>
      <c r="K27" s="31"/>
      <c r="L27" s="31">
        <v>3563.1</v>
      </c>
    </row>
    <row r="28" spans="1:12">
      <c r="A28" s="15" t="s">
        <v>27</v>
      </c>
      <c r="B28" s="16" t="s">
        <v>20</v>
      </c>
      <c r="C28" s="16"/>
      <c r="D28" s="31">
        <v>1611.1</v>
      </c>
      <c r="E28" s="31"/>
      <c r="F28" s="31">
        <v>1673</v>
      </c>
      <c r="G28" s="31"/>
      <c r="H28" s="31">
        <v>1988</v>
      </c>
      <c r="I28" s="31"/>
      <c r="J28" s="31">
        <v>2717.1</v>
      </c>
      <c r="K28" s="31"/>
      <c r="L28" s="31">
        <v>3222.3</v>
      </c>
    </row>
    <row r="29" spans="1:12">
      <c r="A29" s="15" t="s">
        <v>27</v>
      </c>
      <c r="B29" s="16" t="s">
        <v>21</v>
      </c>
      <c r="C29" s="16"/>
      <c r="D29" s="31">
        <v>-717.9</v>
      </c>
      <c r="E29" s="31"/>
      <c r="F29" s="31">
        <v>-504.7</v>
      </c>
      <c r="G29" s="31"/>
      <c r="H29" s="31">
        <v>398.1</v>
      </c>
      <c r="I29" s="31"/>
      <c r="J29" s="31">
        <v>603</v>
      </c>
      <c r="K29" s="31"/>
      <c r="L29" s="31">
        <v>-340.8</v>
      </c>
    </row>
    <row r="30" spans="1:12">
      <c r="A30" s="15"/>
      <c r="B30" s="16"/>
      <c r="C30" s="16"/>
      <c r="D30" s="31"/>
      <c r="E30" s="31"/>
      <c r="F30" s="31"/>
      <c r="G30" s="31"/>
      <c r="H30" s="31"/>
      <c r="I30" s="31"/>
      <c r="J30" s="31"/>
      <c r="K30" s="31"/>
      <c r="L30" s="31"/>
    </row>
    <row r="31" spans="1:12" ht="25.5">
      <c r="A31" s="15" t="s">
        <v>28</v>
      </c>
      <c r="B31" s="16" t="s">
        <v>19</v>
      </c>
      <c r="C31" s="16"/>
      <c r="D31" s="31">
        <v>7627.6</v>
      </c>
      <c r="E31" s="31"/>
      <c r="F31" s="31">
        <v>7914.9</v>
      </c>
      <c r="G31" s="31"/>
      <c r="H31" s="31">
        <v>6897.5</v>
      </c>
      <c r="I31" s="31"/>
      <c r="J31" s="31">
        <v>8614.2000000000007</v>
      </c>
      <c r="K31" s="31"/>
      <c r="L31" s="31">
        <v>5442.9</v>
      </c>
    </row>
    <row r="32" spans="1:12" ht="25.5">
      <c r="A32" s="15" t="s">
        <v>28</v>
      </c>
      <c r="B32" s="16" t="s">
        <v>20</v>
      </c>
      <c r="C32" s="16"/>
      <c r="D32" s="31">
        <v>5831.5</v>
      </c>
      <c r="E32" s="31"/>
      <c r="F32" s="31">
        <v>5542.9</v>
      </c>
      <c r="G32" s="31"/>
      <c r="H32" s="31">
        <v>5247.8</v>
      </c>
      <c r="I32" s="31"/>
      <c r="J32" s="31">
        <v>6087.6</v>
      </c>
      <c r="K32" s="31"/>
      <c r="L32" s="31">
        <v>8120.4</v>
      </c>
    </row>
    <row r="33" spans="1:12" ht="25.5">
      <c r="A33" s="15" t="s">
        <v>28</v>
      </c>
      <c r="B33" s="16" t="s">
        <v>21</v>
      </c>
      <c r="C33" s="16"/>
      <c r="D33" s="31">
        <v>-1796.1</v>
      </c>
      <c r="E33" s="31"/>
      <c r="F33" s="31">
        <v>-2372</v>
      </c>
      <c r="G33" s="31"/>
      <c r="H33" s="31">
        <v>-1649.7</v>
      </c>
      <c r="I33" s="31"/>
      <c r="J33" s="31">
        <v>-2526.6</v>
      </c>
      <c r="K33" s="31"/>
      <c r="L33" s="31">
        <v>2677.5</v>
      </c>
    </row>
    <row r="34" spans="1:12">
      <c r="A34" s="15"/>
      <c r="B34" s="16"/>
      <c r="C34" s="16"/>
      <c r="D34" s="31"/>
      <c r="E34" s="31"/>
      <c r="F34" s="31"/>
      <c r="G34" s="31"/>
      <c r="H34" s="31"/>
      <c r="I34" s="31"/>
      <c r="J34" s="31"/>
      <c r="K34" s="31"/>
      <c r="L34" s="31"/>
    </row>
    <row r="35" spans="1:12">
      <c r="A35" s="15" t="s">
        <v>29</v>
      </c>
      <c r="B35" s="16" t="s">
        <v>19</v>
      </c>
      <c r="C35" s="16"/>
      <c r="D35" s="31">
        <v>345.6</v>
      </c>
      <c r="E35" s="31"/>
      <c r="F35" s="31">
        <v>372.8</v>
      </c>
      <c r="G35" s="31"/>
      <c r="H35" s="31">
        <v>325.5</v>
      </c>
      <c r="I35" s="31"/>
      <c r="J35" s="31">
        <v>337.2</v>
      </c>
      <c r="K35" s="31"/>
      <c r="L35" s="31">
        <v>374.9</v>
      </c>
    </row>
    <row r="36" spans="1:12">
      <c r="A36" s="15" t="s">
        <v>29</v>
      </c>
      <c r="B36" s="16" t="s">
        <v>20</v>
      </c>
      <c r="C36" s="16"/>
      <c r="D36" s="31">
        <v>183.9</v>
      </c>
      <c r="E36" s="31"/>
      <c r="F36" s="31">
        <v>193.5</v>
      </c>
      <c r="G36" s="31"/>
      <c r="H36" s="31">
        <v>206.5</v>
      </c>
      <c r="I36" s="31"/>
      <c r="J36" s="31">
        <v>227.6</v>
      </c>
      <c r="K36" s="31"/>
      <c r="L36" s="31">
        <v>461.2</v>
      </c>
    </row>
    <row r="37" spans="1:12">
      <c r="A37" s="15" t="s">
        <v>29</v>
      </c>
      <c r="B37" s="16" t="s">
        <v>21</v>
      </c>
      <c r="C37" s="16"/>
      <c r="D37" s="31">
        <v>-161.69999999999999</v>
      </c>
      <c r="E37" s="31"/>
      <c r="F37" s="31">
        <v>-179.3</v>
      </c>
      <c r="G37" s="31"/>
      <c r="H37" s="31">
        <v>-119</v>
      </c>
      <c r="I37" s="31"/>
      <c r="J37" s="31">
        <v>-109.6</v>
      </c>
      <c r="K37" s="31"/>
      <c r="L37" s="31">
        <v>86.3</v>
      </c>
    </row>
    <row r="38" spans="1:12">
      <c r="A38" s="15"/>
      <c r="B38" s="16"/>
      <c r="C38" s="16"/>
      <c r="D38" s="31"/>
      <c r="E38" s="31"/>
      <c r="F38" s="31"/>
      <c r="G38" s="31"/>
      <c r="H38" s="31"/>
      <c r="I38" s="31"/>
      <c r="J38" s="31"/>
      <c r="K38" s="31"/>
      <c r="L38" s="31"/>
    </row>
    <row r="39" spans="1:12">
      <c r="A39" s="15" t="s">
        <v>30</v>
      </c>
      <c r="B39" s="16" t="s">
        <v>19</v>
      </c>
      <c r="C39" s="16"/>
      <c r="D39" s="31">
        <v>5957.1</v>
      </c>
      <c r="E39" s="31"/>
      <c r="F39" s="31">
        <v>5629.9</v>
      </c>
      <c r="G39" s="31"/>
      <c r="H39" s="31">
        <v>2231.5</v>
      </c>
      <c r="I39" s="31"/>
      <c r="J39" s="31">
        <v>5676.1</v>
      </c>
      <c r="K39" s="31"/>
      <c r="L39" s="31">
        <v>10455.299999999999</v>
      </c>
    </row>
    <row r="40" spans="1:12">
      <c r="A40" s="15" t="s">
        <v>30</v>
      </c>
      <c r="B40" s="16" t="s">
        <v>20</v>
      </c>
      <c r="C40" s="16"/>
      <c r="D40" s="31">
        <v>3643.7</v>
      </c>
      <c r="E40" s="31"/>
      <c r="F40" s="31">
        <v>3789.7</v>
      </c>
      <c r="G40" s="31"/>
      <c r="H40" s="31">
        <v>3927</v>
      </c>
      <c r="I40" s="31"/>
      <c r="J40" s="31">
        <v>2385.9</v>
      </c>
      <c r="K40" s="31"/>
      <c r="L40" s="31">
        <v>6565.3</v>
      </c>
    </row>
    <row r="41" spans="1:12">
      <c r="A41" s="15" t="s">
        <v>30</v>
      </c>
      <c r="B41" s="16" t="s">
        <v>21</v>
      </c>
      <c r="C41" s="16"/>
      <c r="D41" s="31">
        <v>-2313.4</v>
      </c>
      <c r="E41" s="31"/>
      <c r="F41" s="31">
        <v>-1840.2</v>
      </c>
      <c r="G41" s="31"/>
      <c r="H41" s="31">
        <v>1695.5</v>
      </c>
      <c r="I41" s="31"/>
      <c r="J41" s="31">
        <v>-3290.2</v>
      </c>
      <c r="K41" s="31"/>
      <c r="L41" s="31">
        <v>-3890</v>
      </c>
    </row>
    <row r="42" spans="1:12">
      <c r="A42" s="15"/>
      <c r="B42" s="16"/>
      <c r="C42" s="16"/>
      <c r="D42" s="31"/>
      <c r="E42" s="31"/>
      <c r="F42" s="31"/>
      <c r="G42" s="31"/>
      <c r="H42" s="31"/>
      <c r="I42" s="31"/>
      <c r="J42" s="31"/>
      <c r="K42" s="31"/>
      <c r="L42" s="31"/>
    </row>
    <row r="43" spans="1:12">
      <c r="A43" s="15" t="s">
        <v>31</v>
      </c>
      <c r="B43" s="16" t="s">
        <v>19</v>
      </c>
      <c r="C43" s="16"/>
      <c r="D43" s="31">
        <v>5280.2</v>
      </c>
      <c r="E43" s="31"/>
      <c r="F43" s="31">
        <v>4692.1000000000004</v>
      </c>
      <c r="G43" s="31"/>
      <c r="H43" s="31">
        <v>3269.1</v>
      </c>
      <c r="I43" s="31"/>
      <c r="J43" s="31">
        <v>5273.7</v>
      </c>
      <c r="K43" s="31"/>
      <c r="L43" s="31">
        <v>4221.5</v>
      </c>
    </row>
    <row r="44" spans="1:12">
      <c r="A44" s="15" t="s">
        <v>31</v>
      </c>
      <c r="B44" s="16" t="s">
        <v>20</v>
      </c>
      <c r="C44" s="16"/>
      <c r="D44" s="31">
        <v>3535.5</v>
      </c>
      <c r="E44" s="31"/>
      <c r="F44" s="31">
        <v>3157</v>
      </c>
      <c r="G44" s="31"/>
      <c r="H44" s="31">
        <v>2625</v>
      </c>
      <c r="I44" s="31"/>
      <c r="J44" s="31">
        <v>3213.6</v>
      </c>
      <c r="K44" s="31"/>
      <c r="L44" s="31">
        <v>6072.5</v>
      </c>
    </row>
    <row r="45" spans="1:12">
      <c r="A45" s="15" t="s">
        <v>31</v>
      </c>
      <c r="B45" s="16" t="s">
        <v>21</v>
      </c>
      <c r="C45" s="16"/>
      <c r="D45" s="31">
        <v>-1744.7</v>
      </c>
      <c r="E45" s="31"/>
      <c r="F45" s="31">
        <v>-1535.1</v>
      </c>
      <c r="G45" s="31"/>
      <c r="H45" s="31">
        <v>-644.1</v>
      </c>
      <c r="I45" s="31"/>
      <c r="J45" s="31">
        <v>-2060.1</v>
      </c>
      <c r="K45" s="31"/>
      <c r="L45" s="31">
        <v>1851</v>
      </c>
    </row>
    <row r="46" spans="1:12">
      <c r="A46" s="15"/>
      <c r="B46" s="16"/>
      <c r="C46" s="16"/>
      <c r="D46" s="31"/>
      <c r="E46" s="31"/>
      <c r="F46" s="31"/>
      <c r="G46" s="31"/>
      <c r="H46" s="31"/>
      <c r="I46" s="31"/>
      <c r="J46" s="31"/>
      <c r="K46" s="31"/>
      <c r="L46" s="31"/>
    </row>
    <row r="47" spans="1:12">
      <c r="A47" s="15" t="s">
        <v>32</v>
      </c>
      <c r="B47" s="16" t="s">
        <v>19</v>
      </c>
      <c r="C47" s="16"/>
      <c r="D47" s="31">
        <v>10299.799999999999</v>
      </c>
      <c r="E47" s="31"/>
      <c r="F47" s="31">
        <v>12172.7</v>
      </c>
      <c r="G47" s="31"/>
      <c r="H47" s="31">
        <v>13821.1</v>
      </c>
      <c r="I47" s="31"/>
      <c r="J47" s="31">
        <v>18423.400000000001</v>
      </c>
      <c r="K47" s="31"/>
      <c r="L47" s="31">
        <v>18190.400000000001</v>
      </c>
    </row>
    <row r="48" spans="1:12">
      <c r="A48" s="15" t="s">
        <v>32</v>
      </c>
      <c r="B48" s="16" t="s">
        <v>20</v>
      </c>
      <c r="C48" s="16"/>
      <c r="D48" s="31">
        <v>9118.5</v>
      </c>
      <c r="E48" s="31"/>
      <c r="F48" s="31">
        <v>9463.2000000000007</v>
      </c>
      <c r="G48" s="31"/>
      <c r="H48" s="31">
        <v>14656.1</v>
      </c>
      <c r="I48" s="31"/>
      <c r="J48" s="31">
        <v>15491.4</v>
      </c>
      <c r="K48" s="31"/>
      <c r="L48" s="31">
        <v>15011.3</v>
      </c>
    </row>
    <row r="49" spans="1:12">
      <c r="A49" s="15" t="s">
        <v>32</v>
      </c>
      <c r="B49" s="16" t="s">
        <v>21</v>
      </c>
      <c r="C49" s="16"/>
      <c r="D49" s="31">
        <v>-1181.3</v>
      </c>
      <c r="E49" s="31"/>
      <c r="F49" s="31">
        <v>-2709.5</v>
      </c>
      <c r="G49" s="31"/>
      <c r="H49" s="31">
        <v>835</v>
      </c>
      <c r="I49" s="31"/>
      <c r="J49" s="31">
        <v>-2932</v>
      </c>
      <c r="K49" s="31"/>
      <c r="L49" s="31">
        <v>-3179.1</v>
      </c>
    </row>
    <row r="50" spans="1:12">
      <c r="A50" s="15"/>
      <c r="B50" s="16"/>
      <c r="C50" s="16"/>
      <c r="D50" s="31"/>
      <c r="E50" s="31"/>
      <c r="F50" s="31"/>
      <c r="G50" s="31"/>
      <c r="H50" s="31"/>
      <c r="I50" s="31"/>
      <c r="J50" s="31"/>
      <c r="K50" s="31"/>
      <c r="L50" s="31"/>
    </row>
    <row r="51" spans="1:12">
      <c r="A51" s="15" t="s">
        <v>33</v>
      </c>
      <c r="B51" s="16" t="s">
        <v>19</v>
      </c>
      <c r="C51" s="16"/>
      <c r="D51" s="31">
        <v>504.6</v>
      </c>
      <c r="E51" s="31"/>
      <c r="F51" s="31">
        <v>488.5</v>
      </c>
      <c r="G51" s="31"/>
      <c r="H51" s="31">
        <v>372.7</v>
      </c>
      <c r="I51" s="31"/>
      <c r="J51" s="31">
        <v>242.2</v>
      </c>
      <c r="K51" s="31"/>
      <c r="L51" s="31">
        <v>530.9</v>
      </c>
    </row>
    <row r="52" spans="1:12">
      <c r="A52" s="15" t="s">
        <v>33</v>
      </c>
      <c r="B52" s="16" t="s">
        <v>20</v>
      </c>
      <c r="C52" s="16"/>
      <c r="D52" s="31">
        <v>422.5</v>
      </c>
      <c r="E52" s="31"/>
      <c r="F52" s="31">
        <v>489.3</v>
      </c>
      <c r="G52" s="31"/>
      <c r="H52" s="31">
        <v>341.1</v>
      </c>
      <c r="I52" s="31"/>
      <c r="J52" s="31">
        <v>344.4</v>
      </c>
      <c r="K52" s="31"/>
      <c r="L52" s="31">
        <v>361.9</v>
      </c>
    </row>
    <row r="53" spans="1:12">
      <c r="A53" s="15" t="s">
        <v>33</v>
      </c>
      <c r="B53" s="16" t="s">
        <v>21</v>
      </c>
      <c r="C53" s="16"/>
      <c r="D53" s="31">
        <v>-82.1</v>
      </c>
      <c r="E53" s="31"/>
      <c r="F53" s="31">
        <v>0.8</v>
      </c>
      <c r="G53" s="31"/>
      <c r="H53" s="31">
        <v>-31.6</v>
      </c>
      <c r="I53" s="31"/>
      <c r="J53" s="31">
        <v>102.2</v>
      </c>
      <c r="K53" s="31"/>
      <c r="L53" s="31">
        <v>-169</v>
      </c>
    </row>
    <row r="54" spans="1:12">
      <c r="A54" s="15"/>
      <c r="B54" s="16"/>
      <c r="C54" s="16"/>
      <c r="D54" s="31"/>
      <c r="E54" s="31"/>
      <c r="F54" s="31"/>
      <c r="G54" s="31"/>
      <c r="H54" s="31"/>
      <c r="I54" s="31"/>
      <c r="J54" s="31"/>
      <c r="K54" s="31"/>
      <c r="L54" s="31"/>
    </row>
    <row r="55" spans="1:12">
      <c r="A55" s="15" t="s">
        <v>34</v>
      </c>
      <c r="B55" s="16" t="s">
        <v>19</v>
      </c>
      <c r="C55" s="16"/>
      <c r="D55" s="31">
        <v>4</v>
      </c>
      <c r="E55" s="31"/>
      <c r="F55" s="31">
        <v>5.5</v>
      </c>
      <c r="G55" s="31"/>
      <c r="H55" s="31">
        <v>7.1</v>
      </c>
      <c r="I55" s="31"/>
      <c r="J55" s="31">
        <v>36</v>
      </c>
      <c r="K55" s="31"/>
      <c r="L55" s="31">
        <v>48.7</v>
      </c>
    </row>
    <row r="56" spans="1:12">
      <c r="A56" s="15" t="s">
        <v>34</v>
      </c>
      <c r="B56" s="16" t="s">
        <v>20</v>
      </c>
      <c r="C56" s="16"/>
      <c r="D56" s="31">
        <v>9.6999999999999993</v>
      </c>
      <c r="E56" s="31"/>
      <c r="F56" s="31">
        <v>9.4</v>
      </c>
      <c r="G56" s="31"/>
      <c r="H56" s="31">
        <v>15.9</v>
      </c>
      <c r="I56" s="31"/>
      <c r="J56" s="31">
        <v>37.700000000000003</v>
      </c>
      <c r="K56" s="31"/>
      <c r="L56" s="31">
        <v>8</v>
      </c>
    </row>
    <row r="57" spans="1:12">
      <c r="A57" s="15" t="s">
        <v>34</v>
      </c>
      <c r="B57" s="16" t="s">
        <v>21</v>
      </c>
      <c r="C57" s="16"/>
      <c r="D57" s="31">
        <v>5.7</v>
      </c>
      <c r="E57" s="31"/>
      <c r="F57" s="31">
        <v>3.9</v>
      </c>
      <c r="G57" s="31"/>
      <c r="H57" s="31">
        <v>8.8000000000000007</v>
      </c>
      <c r="I57" s="31"/>
      <c r="J57" s="31">
        <v>1.7</v>
      </c>
      <c r="K57" s="31"/>
      <c r="L57" s="31">
        <v>-40.700000000000003</v>
      </c>
    </row>
    <row r="58" spans="1:12">
      <c r="A58" s="15"/>
      <c r="B58" s="16"/>
      <c r="C58" s="16"/>
      <c r="D58" s="31"/>
      <c r="E58" s="31"/>
      <c r="F58" s="31"/>
      <c r="G58" s="31"/>
      <c r="H58" s="31"/>
      <c r="I58" s="31"/>
      <c r="J58" s="31"/>
      <c r="K58" s="31"/>
      <c r="L58" s="31"/>
    </row>
    <row r="59" spans="1:12">
      <c r="A59" s="32" t="s">
        <v>35</v>
      </c>
      <c r="B59" s="21" t="s">
        <v>20</v>
      </c>
      <c r="C59" s="21"/>
      <c r="D59" s="33">
        <v>72701.8</v>
      </c>
      <c r="E59" s="33"/>
      <c r="F59" s="33">
        <v>69257.100000000006</v>
      </c>
      <c r="G59" s="33"/>
      <c r="H59" s="33">
        <v>63435.5</v>
      </c>
      <c r="I59" s="33"/>
      <c r="J59" s="33">
        <v>70108.3</v>
      </c>
      <c r="K59" s="33"/>
      <c r="L59" s="33">
        <v>105205.2</v>
      </c>
    </row>
    <row r="60" spans="1:12">
      <c r="A60" s="32" t="s">
        <v>36</v>
      </c>
      <c r="B60" s="21" t="s">
        <v>19</v>
      </c>
      <c r="C60" s="21"/>
      <c r="D60" s="33">
        <v>92895.8</v>
      </c>
      <c r="E60" s="33"/>
      <c r="F60" s="33">
        <v>87890</v>
      </c>
      <c r="G60" s="33"/>
      <c r="H60" s="33">
        <v>41564.400000000001</v>
      </c>
      <c r="I60" s="33"/>
      <c r="J60" s="33">
        <v>104286.1</v>
      </c>
      <c r="K60" s="33"/>
      <c r="L60" s="33">
        <v>168508.9</v>
      </c>
    </row>
    <row r="61" spans="1:12">
      <c r="A61" s="32"/>
      <c r="B61" s="21" t="s">
        <v>21</v>
      </c>
      <c r="C61" s="21"/>
      <c r="D61" s="33">
        <v>-20698.8</v>
      </c>
      <c r="E61" s="33"/>
      <c r="F61" s="33">
        <v>-19121.400000000001</v>
      </c>
      <c r="G61" s="33"/>
      <c r="H61" s="33">
        <v>-2752.5</v>
      </c>
      <c r="I61" s="33"/>
      <c r="J61" s="33">
        <v>-34177.800000000003</v>
      </c>
      <c r="K61" s="33"/>
      <c r="L61" s="33">
        <v>-63303.7</v>
      </c>
    </row>
    <row r="62" spans="1:12" s="35" customFormat="1">
      <c r="A62" s="34"/>
      <c r="B62" s="26"/>
      <c r="C62" s="26"/>
      <c r="D62" s="26"/>
      <c r="E62" s="26"/>
      <c r="F62" s="26"/>
      <c r="G62" s="26"/>
      <c r="H62" s="26"/>
      <c r="I62" s="26"/>
      <c r="J62" s="26"/>
      <c r="K62" s="26"/>
      <c r="L62" s="26"/>
    </row>
    <row r="63" spans="1:12">
      <c r="A63" s="15"/>
      <c r="B63" s="16"/>
      <c r="C63" s="16"/>
      <c r="D63" s="16"/>
      <c r="E63" s="16"/>
      <c r="F63" s="16"/>
      <c r="G63" s="16"/>
      <c r="H63" s="16"/>
      <c r="I63" s="16"/>
      <c r="J63" s="16"/>
      <c r="K63" s="16"/>
      <c r="L63" s="16"/>
    </row>
    <row r="64" spans="1:12" ht="25.5">
      <c r="A64" s="36" t="s">
        <v>37</v>
      </c>
      <c r="B64" s="16"/>
      <c r="C64" s="16"/>
      <c r="D64" s="16"/>
      <c r="E64" s="16"/>
      <c r="F64" s="16"/>
      <c r="G64" s="16"/>
      <c r="H64" s="16"/>
      <c r="I64" s="16"/>
      <c r="J64" s="16"/>
      <c r="K64" s="16"/>
      <c r="L64" s="16"/>
    </row>
    <row r="65" spans="1:12">
      <c r="A65" s="36" t="s">
        <v>810</v>
      </c>
      <c r="B65" s="16"/>
      <c r="C65" s="16"/>
      <c r="D65" s="16"/>
      <c r="E65" s="16"/>
      <c r="F65" s="16"/>
      <c r="G65" s="16"/>
      <c r="H65" s="16"/>
      <c r="I65" s="16"/>
      <c r="J65" s="16"/>
      <c r="K65" s="16"/>
      <c r="L65" s="16"/>
    </row>
    <row r="66" spans="1:12">
      <c r="A66" s="15"/>
      <c r="B66" s="16"/>
      <c r="C66" s="16"/>
      <c r="D66" s="16"/>
      <c r="E66" s="16"/>
      <c r="F66" s="16"/>
      <c r="G66" s="16"/>
      <c r="H66" s="16"/>
      <c r="I66" s="16"/>
      <c r="J66" s="16"/>
      <c r="K66" s="16"/>
      <c r="L66" s="16"/>
    </row>
    <row r="67" spans="1:12">
      <c r="A67" s="15"/>
      <c r="B67" s="16"/>
      <c r="C67" s="16"/>
      <c r="D67" s="16"/>
      <c r="E67" s="16"/>
      <c r="F67" s="16"/>
      <c r="G67" s="16"/>
      <c r="H67" s="16"/>
      <c r="I67" s="16"/>
      <c r="J67" s="16"/>
      <c r="K67" s="16"/>
      <c r="L67" s="16"/>
    </row>
    <row r="68" spans="1:12">
      <c r="A68" s="18" t="str">
        <f>HYPERLINK("[UKMY 2023 PrintableV1.1 12_09_24.xlsx]Contents!A1","Return to contents page")</f>
        <v>Return to contents page</v>
      </c>
      <c r="B68" s="16"/>
      <c r="C68" s="16"/>
      <c r="D68" s="16"/>
      <c r="E68" s="16"/>
      <c r="F68" s="16"/>
      <c r="G68" s="16"/>
      <c r="H68" s="16"/>
      <c r="I68" s="16"/>
      <c r="J68" s="16"/>
      <c r="K68" s="16"/>
      <c r="L68" s="16"/>
    </row>
  </sheetData>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D46F-9D2F-40A4-A849-53C1B1C89084}">
  <dimension ref="A1:M64"/>
  <sheetViews>
    <sheetView view="pageBreakPreview" zoomScaleNormal="100" zoomScaleSheetLayoutView="100" workbookViewId="0">
      <selection activeCell="A5" sqref="A5"/>
    </sheetView>
  </sheetViews>
  <sheetFormatPr defaultColWidth="9.1796875" defaultRowHeight="14"/>
  <cols>
    <col min="1" max="1" width="23" style="13" customWidth="1"/>
    <col min="2" max="2" width="26.26953125" style="13" bestFit="1" customWidth="1"/>
    <col min="3" max="3" width="15.26953125" style="13" bestFit="1" customWidth="1"/>
    <col min="4" max="4" width="2.1796875" style="13" bestFit="1" customWidth="1"/>
    <col min="5" max="5" width="5.54296875" style="13" bestFit="1" customWidth="1"/>
    <col min="6" max="6" width="2.1796875" style="13" bestFit="1" customWidth="1"/>
    <col min="7" max="7" width="5.54296875" style="13" bestFit="1" customWidth="1"/>
    <col min="8" max="8" width="2.1796875" style="13" bestFit="1" customWidth="1"/>
    <col min="9" max="9" width="5.54296875" style="13" bestFit="1" customWidth="1"/>
    <col min="10" max="10" width="2.1796875" style="13" bestFit="1" customWidth="1"/>
    <col min="11" max="11" width="5.54296875" style="13" bestFit="1" customWidth="1"/>
    <col min="12" max="12" width="2.1796875" style="13" bestFit="1" customWidth="1"/>
    <col min="13" max="13" width="5.54296875" style="13" bestFit="1" customWidth="1"/>
    <col min="14" max="16384" width="9.1796875" style="13"/>
  </cols>
  <sheetData>
    <row r="1" spans="1:13" ht="15.5">
      <c r="A1" s="51" t="s">
        <v>368</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369</v>
      </c>
      <c r="C3" s="13" t="s">
        <v>829</v>
      </c>
      <c r="E3" s="13">
        <v>100</v>
      </c>
      <c r="G3" s="13">
        <v>407</v>
      </c>
      <c r="I3" s="13">
        <v>320</v>
      </c>
      <c r="K3" s="13">
        <v>185</v>
      </c>
      <c r="M3" s="13">
        <v>514</v>
      </c>
    </row>
    <row r="4" spans="1:13">
      <c r="A4" s="13" t="s">
        <v>19</v>
      </c>
      <c r="B4" s="13" t="s">
        <v>369</v>
      </c>
      <c r="C4" s="13" t="s">
        <v>201</v>
      </c>
      <c r="E4" s="13">
        <v>0</v>
      </c>
      <c r="G4" s="13">
        <v>4</v>
      </c>
      <c r="I4" s="13">
        <v>1</v>
      </c>
      <c r="K4" s="13">
        <v>1</v>
      </c>
      <c r="M4" s="13">
        <v>4</v>
      </c>
    </row>
    <row r="6" spans="1:13">
      <c r="A6" s="13" t="s">
        <v>20</v>
      </c>
      <c r="B6" s="13" t="s">
        <v>369</v>
      </c>
      <c r="C6" s="13" t="s">
        <v>829</v>
      </c>
      <c r="E6" s="13">
        <v>203</v>
      </c>
      <c r="G6" s="13">
        <v>157</v>
      </c>
      <c r="I6" s="13">
        <v>45</v>
      </c>
      <c r="K6" s="13">
        <v>37</v>
      </c>
      <c r="M6" s="13">
        <v>597</v>
      </c>
    </row>
    <row r="7" spans="1:13">
      <c r="A7" s="13" t="s">
        <v>20</v>
      </c>
      <c r="B7" s="13" t="s">
        <v>369</v>
      </c>
      <c r="C7" s="13" t="s">
        <v>201</v>
      </c>
      <c r="E7" s="13">
        <v>12</v>
      </c>
      <c r="G7" s="13">
        <v>9</v>
      </c>
      <c r="I7" s="13">
        <v>5</v>
      </c>
      <c r="K7" s="13">
        <v>0</v>
      </c>
      <c r="M7" s="13">
        <v>1</v>
      </c>
    </row>
    <row r="8" spans="1:13">
      <c r="A8" s="35"/>
      <c r="B8" s="35"/>
      <c r="C8" s="35"/>
      <c r="D8" s="35"/>
      <c r="E8" s="35"/>
      <c r="F8" s="35"/>
      <c r="G8" s="35"/>
      <c r="H8" s="35"/>
      <c r="I8" s="35"/>
      <c r="J8" s="35"/>
      <c r="K8" s="35"/>
      <c r="L8" s="35"/>
      <c r="M8" s="35"/>
    </row>
    <row r="11" spans="1:13">
      <c r="A1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EC67A-D649-4937-AB10-0916E6DE4272}">
  <dimension ref="A1:M64"/>
  <sheetViews>
    <sheetView view="pageBreakPreview" zoomScaleNormal="100" zoomScaleSheetLayoutView="100" workbookViewId="0">
      <selection activeCell="N10" sqref="N10"/>
    </sheetView>
  </sheetViews>
  <sheetFormatPr defaultColWidth="9.1796875" defaultRowHeight="14"/>
  <cols>
    <col min="1" max="1" width="14.54296875" style="13" customWidth="1"/>
    <col min="2" max="2" width="26.54296875" style="13" customWidth="1"/>
    <col min="3" max="3" width="11.26953125" style="13" bestFit="1" customWidth="1"/>
    <col min="4" max="4" width="3.453125" style="13" bestFit="1" customWidth="1"/>
    <col min="5" max="5" width="11.26953125" style="13" bestFit="1" customWidth="1"/>
    <col min="6" max="6" width="3.453125" style="13" bestFit="1" customWidth="1"/>
    <col min="7" max="7" width="11.26953125" style="13" bestFit="1" customWidth="1"/>
    <col min="8" max="8" width="3.453125" style="13" bestFit="1" customWidth="1"/>
    <col min="9" max="9" width="11.26953125" style="13" bestFit="1" customWidth="1"/>
    <col min="10" max="10" width="3.453125" style="13" bestFit="1" customWidth="1"/>
    <col min="11" max="11" width="11.26953125" style="13" bestFit="1" customWidth="1"/>
    <col min="12" max="12" width="3.453125" style="13" bestFit="1" customWidth="1"/>
    <col min="13" max="13" width="11.26953125" style="13" bestFit="1" customWidth="1"/>
    <col min="14" max="16384" width="9.1796875" style="13"/>
  </cols>
  <sheetData>
    <row r="1" spans="1:13" ht="15.5">
      <c r="A1" s="20" t="s">
        <v>370</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46</v>
      </c>
      <c r="C3" s="13" t="s">
        <v>273</v>
      </c>
      <c r="E3" s="13">
        <v>0</v>
      </c>
      <c r="F3" s="13" t="s">
        <v>221</v>
      </c>
      <c r="G3" s="13">
        <v>50</v>
      </c>
      <c r="I3" s="13">
        <v>28</v>
      </c>
      <c r="K3" s="13">
        <v>79</v>
      </c>
      <c r="M3" s="13">
        <v>270</v>
      </c>
    </row>
    <row r="5" spans="1:13">
      <c r="A5" s="13" t="s">
        <v>19</v>
      </c>
      <c r="B5" s="13" t="s">
        <v>371</v>
      </c>
      <c r="C5" s="13" t="s">
        <v>829</v>
      </c>
      <c r="E5" s="57">
        <v>19020357</v>
      </c>
      <c r="G5" s="57">
        <v>55351947</v>
      </c>
      <c r="I5" s="57">
        <v>68420777</v>
      </c>
      <c r="K5" s="57">
        <v>38908193</v>
      </c>
      <c r="M5" s="57">
        <v>33635413</v>
      </c>
    </row>
    <row r="6" spans="1:13">
      <c r="A6" s="13" t="s">
        <v>19</v>
      </c>
      <c r="B6" s="13" t="s">
        <v>371</v>
      </c>
      <c r="C6" s="13" t="s">
        <v>273</v>
      </c>
      <c r="E6" s="13">
        <v>625</v>
      </c>
      <c r="G6" s="57">
        <v>1526</v>
      </c>
      <c r="I6" s="57">
        <v>1504</v>
      </c>
      <c r="K6" s="13">
        <v>924</v>
      </c>
      <c r="M6" s="13">
        <v>731</v>
      </c>
    </row>
    <row r="7" spans="1:13">
      <c r="A7" s="13" t="s">
        <v>19</v>
      </c>
      <c r="B7" s="13" t="s">
        <v>372</v>
      </c>
      <c r="C7" s="13" t="s">
        <v>829</v>
      </c>
      <c r="D7" s="13" t="s">
        <v>205</v>
      </c>
      <c r="E7" s="57">
        <v>130115</v>
      </c>
      <c r="F7" s="13" t="s">
        <v>205</v>
      </c>
      <c r="G7" s="57">
        <v>42001</v>
      </c>
      <c r="H7" s="13" t="s">
        <v>205</v>
      </c>
      <c r="I7" s="57">
        <v>227976</v>
      </c>
      <c r="J7" s="13" t="s">
        <v>205</v>
      </c>
      <c r="K7" s="57">
        <v>142392</v>
      </c>
      <c r="L7" s="13" t="s">
        <v>205</v>
      </c>
      <c r="M7" s="57">
        <v>304542</v>
      </c>
    </row>
    <row r="8" spans="1:13">
      <c r="A8" s="13" t="s">
        <v>19</v>
      </c>
      <c r="B8" s="13" t="s">
        <v>372</v>
      </c>
      <c r="C8" s="13" t="s">
        <v>273</v>
      </c>
      <c r="D8" s="13" t="s">
        <v>205</v>
      </c>
      <c r="E8" s="13">
        <v>4</v>
      </c>
      <c r="F8" s="13" t="s">
        <v>205</v>
      </c>
      <c r="G8" s="13">
        <v>1</v>
      </c>
      <c r="H8" s="13" t="s">
        <v>205</v>
      </c>
      <c r="I8" s="13">
        <v>5</v>
      </c>
      <c r="J8" s="13" t="s">
        <v>205</v>
      </c>
      <c r="K8" s="13">
        <v>3</v>
      </c>
      <c r="L8" s="13" t="s">
        <v>205</v>
      </c>
      <c r="M8" s="13">
        <v>7</v>
      </c>
    </row>
    <row r="9" spans="1:13">
      <c r="A9" s="13" t="s">
        <v>19</v>
      </c>
      <c r="B9" s="13" t="s">
        <v>373</v>
      </c>
      <c r="C9" s="13" t="s">
        <v>829</v>
      </c>
      <c r="E9" s="57">
        <v>21833</v>
      </c>
      <c r="G9" s="57">
        <v>49992</v>
      </c>
      <c r="I9" s="57">
        <v>27093</v>
      </c>
      <c r="K9" s="57">
        <v>13912</v>
      </c>
      <c r="M9" s="57">
        <v>27064</v>
      </c>
    </row>
    <row r="10" spans="1:13">
      <c r="A10" s="13" t="s">
        <v>19</v>
      </c>
      <c r="B10" s="13" t="s">
        <v>373</v>
      </c>
      <c r="C10" s="13" t="s">
        <v>273</v>
      </c>
      <c r="E10" s="57">
        <v>308150</v>
      </c>
      <c r="G10" s="57">
        <v>427907</v>
      </c>
      <c r="I10" s="57">
        <v>87890</v>
      </c>
      <c r="K10" s="57">
        <v>2054</v>
      </c>
      <c r="M10" s="57">
        <v>5802</v>
      </c>
    </row>
    <row r="12" spans="1:13">
      <c r="A12" s="13" t="s">
        <v>20</v>
      </c>
      <c r="B12" s="13" t="s">
        <v>371</v>
      </c>
      <c r="C12" s="13" t="s">
        <v>829</v>
      </c>
      <c r="E12" s="57">
        <v>23768398</v>
      </c>
      <c r="G12" s="57">
        <v>18236861</v>
      </c>
      <c r="I12" s="57">
        <v>16636174</v>
      </c>
      <c r="K12" s="57">
        <v>30120224</v>
      </c>
      <c r="M12" s="57">
        <v>58805175</v>
      </c>
    </row>
    <row r="13" spans="1:13">
      <c r="A13" s="13" t="s">
        <v>20</v>
      </c>
      <c r="B13" s="13" t="s">
        <v>371</v>
      </c>
      <c r="C13" s="13" t="s">
        <v>273</v>
      </c>
      <c r="E13" s="13">
        <v>788</v>
      </c>
      <c r="G13" s="13">
        <v>531</v>
      </c>
      <c r="I13" s="13">
        <v>376</v>
      </c>
      <c r="K13" s="13">
        <v>716</v>
      </c>
      <c r="M13" s="57">
        <v>1256</v>
      </c>
    </row>
    <row r="14" spans="1:13">
      <c r="A14" s="13" t="s">
        <v>20</v>
      </c>
      <c r="B14" s="13" t="s">
        <v>372</v>
      </c>
      <c r="C14" s="13" t="s">
        <v>829</v>
      </c>
      <c r="D14" s="13" t="s">
        <v>205</v>
      </c>
      <c r="E14" s="57">
        <v>14903</v>
      </c>
      <c r="F14" s="13" t="s">
        <v>205</v>
      </c>
      <c r="G14" s="57">
        <v>22562</v>
      </c>
      <c r="H14" s="13" t="s">
        <v>205</v>
      </c>
      <c r="I14" s="57">
        <v>21601</v>
      </c>
      <c r="J14" s="13" t="s">
        <v>205</v>
      </c>
      <c r="K14" s="57">
        <v>3794</v>
      </c>
      <c r="L14" s="13" t="s">
        <v>205</v>
      </c>
      <c r="M14" s="57">
        <v>177411</v>
      </c>
    </row>
    <row r="15" spans="1:13">
      <c r="A15" s="13" t="s">
        <v>20</v>
      </c>
      <c r="B15" s="13" t="s">
        <v>372</v>
      </c>
      <c r="C15" s="13" t="s">
        <v>273</v>
      </c>
      <c r="D15" s="13" t="s">
        <v>205</v>
      </c>
      <c r="E15" s="13">
        <v>1</v>
      </c>
      <c r="F15" s="13" t="s">
        <v>205</v>
      </c>
      <c r="G15" s="13">
        <v>1</v>
      </c>
      <c r="H15" s="13" t="s">
        <v>205</v>
      </c>
      <c r="I15" s="13">
        <v>1</v>
      </c>
      <c r="J15" s="13" t="s">
        <v>205</v>
      </c>
      <c r="K15" s="13">
        <v>0</v>
      </c>
      <c r="L15" s="13" t="s">
        <v>205</v>
      </c>
      <c r="M15" s="13">
        <v>4</v>
      </c>
    </row>
    <row r="16" spans="1:13">
      <c r="A16" s="13" t="s">
        <v>20</v>
      </c>
      <c r="B16" s="13" t="s">
        <v>373</v>
      </c>
      <c r="C16" s="13" t="s">
        <v>829</v>
      </c>
      <c r="E16" s="57">
        <v>348607</v>
      </c>
      <c r="G16" s="57">
        <v>450731</v>
      </c>
      <c r="I16" s="57">
        <v>391637</v>
      </c>
      <c r="K16" s="57">
        <v>255636</v>
      </c>
      <c r="M16" s="57">
        <v>703509</v>
      </c>
    </row>
    <row r="17" spans="1:13">
      <c r="A17" s="13" t="s">
        <v>20</v>
      </c>
      <c r="B17" s="13" t="s">
        <v>373</v>
      </c>
      <c r="C17" s="13" t="s">
        <v>273</v>
      </c>
      <c r="E17" s="57">
        <v>532000</v>
      </c>
      <c r="G17" s="57">
        <v>658405</v>
      </c>
      <c r="I17" s="57">
        <v>318795</v>
      </c>
      <c r="K17" s="57">
        <v>25039</v>
      </c>
      <c r="M17" s="57">
        <v>665637</v>
      </c>
    </row>
    <row r="18" spans="1:13">
      <c r="A18" s="35"/>
      <c r="B18" s="35"/>
      <c r="C18" s="35"/>
      <c r="D18" s="35"/>
      <c r="E18" s="35"/>
      <c r="F18" s="35"/>
      <c r="G18" s="35"/>
      <c r="H18" s="35"/>
      <c r="I18" s="35"/>
      <c r="J18" s="35"/>
      <c r="K18" s="35"/>
      <c r="L18" s="35"/>
      <c r="M18" s="35"/>
    </row>
    <row r="20" spans="1:13">
      <c r="A20" s="13" t="s">
        <v>14</v>
      </c>
      <c r="B20" s="13" t="s">
        <v>15</v>
      </c>
    </row>
    <row r="21" spans="1:13">
      <c r="A21" s="13" t="s">
        <v>221</v>
      </c>
      <c r="B21" s="13" t="s">
        <v>297</v>
      </c>
    </row>
    <row r="22" spans="1:13">
      <c r="A22" s="13" t="s">
        <v>214</v>
      </c>
      <c r="B22" s="13" t="s">
        <v>374</v>
      </c>
    </row>
    <row r="25" spans="1:13">
      <c r="A25" s="46" t="str">
        <f>HYPERLINK("[UKMY 2023 PrintableV1.1 12_09_24.xlsx]Contents!A1","Return to contents page")</f>
        <v>Return to contents page</v>
      </c>
    </row>
    <row r="64" spans="5:5">
      <c r="E64" s="47"/>
    </row>
  </sheetData>
  <sortState xmlns:xlrd2="http://schemas.microsoft.com/office/spreadsheetml/2017/richdata2" ref="A12:M17">
    <sortCondition ref="A12:A17"/>
    <sortCondition ref="B12:B17"/>
  </sortState>
  <pageMargins left="0.7" right="0.7" top="0.75" bottom="0.75" header="0.3" footer="0.3"/>
  <pageSetup paperSize="9" orientation="landscape" r:id="rId1"/>
  <legacy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AF1D7-6E64-406D-A1D1-C9DAD89FA636}">
  <dimension ref="A1:M64"/>
  <sheetViews>
    <sheetView view="pageBreakPreview" zoomScaleNormal="100" zoomScaleSheetLayoutView="100" workbookViewId="0">
      <selection activeCell="B6" sqref="B6"/>
    </sheetView>
  </sheetViews>
  <sheetFormatPr defaultColWidth="9.1796875" defaultRowHeight="14"/>
  <cols>
    <col min="1" max="1" width="22.1796875" style="13" customWidth="1"/>
    <col min="2" max="2" width="31.81640625" style="13" bestFit="1" customWidth="1"/>
    <col min="3" max="3" width="15.26953125" style="13" bestFit="1" customWidth="1"/>
    <col min="4" max="4" width="2.1796875" style="13" bestFit="1" customWidth="1"/>
    <col min="5" max="5" width="7.26953125" style="13" bestFit="1" customWidth="1"/>
    <col min="6" max="6" width="2.1796875" style="13" bestFit="1" customWidth="1"/>
    <col min="7" max="7" width="7.26953125" style="13" bestFit="1" customWidth="1"/>
    <col min="8" max="8" width="2.1796875" style="13" bestFit="1" customWidth="1"/>
    <col min="9" max="9" width="7.26953125" style="13" bestFit="1" customWidth="1"/>
    <col min="10" max="10" width="2.1796875" style="13" bestFit="1" customWidth="1"/>
    <col min="11" max="11" width="7.26953125" style="13" bestFit="1" customWidth="1"/>
    <col min="12" max="12" width="2.1796875" style="13" bestFit="1" customWidth="1"/>
    <col min="13" max="13" width="7.26953125" style="13" bestFit="1" customWidth="1"/>
    <col min="14" max="16384" width="9.1796875" style="13"/>
  </cols>
  <sheetData>
    <row r="1" spans="1:13" ht="15.5">
      <c r="A1" s="51" t="s">
        <v>375</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377</v>
      </c>
      <c r="C3" s="13" t="s">
        <v>829</v>
      </c>
      <c r="E3" s="57">
        <v>4161</v>
      </c>
      <c r="G3" s="57">
        <v>4058</v>
      </c>
      <c r="I3" s="57">
        <v>5464</v>
      </c>
      <c r="K3" s="57">
        <v>5530</v>
      </c>
      <c r="M3" s="57">
        <v>6141</v>
      </c>
    </row>
    <row r="4" spans="1:13">
      <c r="A4" s="13" t="s">
        <v>19</v>
      </c>
      <c r="B4" s="13" t="s">
        <v>377</v>
      </c>
      <c r="C4" s="13" t="s">
        <v>201</v>
      </c>
      <c r="E4" s="57">
        <v>5357</v>
      </c>
      <c r="G4" s="57">
        <v>4494</v>
      </c>
      <c r="I4" s="57">
        <v>7244</v>
      </c>
      <c r="K4" s="57">
        <v>5961</v>
      </c>
      <c r="M4" s="57">
        <v>6547</v>
      </c>
    </row>
    <row r="5" spans="1:13">
      <c r="A5" s="13" t="s">
        <v>19</v>
      </c>
      <c r="B5" s="13" t="s">
        <v>378</v>
      </c>
      <c r="C5" s="13" t="s">
        <v>829</v>
      </c>
      <c r="E5" s="57">
        <v>24737</v>
      </c>
      <c r="G5" s="57">
        <v>15997</v>
      </c>
      <c r="I5" s="57">
        <v>13810</v>
      </c>
      <c r="K5" s="57">
        <v>14719</v>
      </c>
      <c r="M5" s="57">
        <v>20323</v>
      </c>
    </row>
    <row r="6" spans="1:13">
      <c r="A6" s="13" t="s">
        <v>19</v>
      </c>
      <c r="B6" s="13" t="s">
        <v>378</v>
      </c>
      <c r="C6" s="13" t="s">
        <v>201</v>
      </c>
      <c r="E6" s="57">
        <v>10583</v>
      </c>
      <c r="G6" s="57">
        <v>9584</v>
      </c>
      <c r="I6" s="57">
        <v>9320</v>
      </c>
      <c r="K6" s="57">
        <v>10278</v>
      </c>
      <c r="M6" s="57">
        <v>12600</v>
      </c>
    </row>
    <row r="7" spans="1:13">
      <c r="A7" s="13" t="s">
        <v>19</v>
      </c>
      <c r="B7" s="13" t="s">
        <v>379</v>
      </c>
      <c r="C7" s="13" t="s">
        <v>829</v>
      </c>
      <c r="E7" s="57">
        <v>1593</v>
      </c>
      <c r="G7" s="57">
        <v>2025</v>
      </c>
      <c r="I7" s="57">
        <v>1355</v>
      </c>
      <c r="K7" s="57">
        <v>1677</v>
      </c>
      <c r="M7" s="57">
        <v>3844</v>
      </c>
    </row>
    <row r="8" spans="1:13">
      <c r="A8" s="13" t="s">
        <v>19</v>
      </c>
      <c r="B8" s="13" t="s">
        <v>379</v>
      </c>
      <c r="C8" s="13" t="s">
        <v>201</v>
      </c>
      <c r="E8" s="13">
        <v>214</v>
      </c>
      <c r="G8" s="13">
        <v>290</v>
      </c>
      <c r="I8" s="13">
        <v>213</v>
      </c>
      <c r="K8" s="13">
        <v>165</v>
      </c>
      <c r="M8" s="13">
        <v>400</v>
      </c>
    </row>
    <row r="10" spans="1:13">
      <c r="A10" s="13" t="s">
        <v>20</v>
      </c>
      <c r="B10" s="13" t="s">
        <v>377</v>
      </c>
      <c r="C10" s="13" t="s">
        <v>829</v>
      </c>
      <c r="E10" s="57">
        <v>2909</v>
      </c>
      <c r="G10" s="57">
        <v>2669</v>
      </c>
      <c r="I10" s="57">
        <v>3049</v>
      </c>
      <c r="K10" s="57">
        <v>2942</v>
      </c>
      <c r="M10" s="57">
        <v>2955</v>
      </c>
    </row>
    <row r="11" spans="1:13">
      <c r="A11" s="13" t="s">
        <v>20</v>
      </c>
      <c r="B11" s="13" t="s">
        <v>377</v>
      </c>
      <c r="C11" s="13" t="s">
        <v>201</v>
      </c>
      <c r="E11" s="57">
        <v>1687</v>
      </c>
      <c r="G11" s="57">
        <v>1536</v>
      </c>
      <c r="I11" s="57">
        <v>2125</v>
      </c>
      <c r="K11" s="57">
        <v>7684</v>
      </c>
      <c r="M11" s="57">
        <v>1445</v>
      </c>
    </row>
    <row r="12" spans="1:13">
      <c r="A12" s="13" t="s">
        <v>20</v>
      </c>
      <c r="B12" s="13" t="s">
        <v>378</v>
      </c>
      <c r="C12" s="13" t="s">
        <v>829</v>
      </c>
      <c r="E12" s="57">
        <v>11751</v>
      </c>
      <c r="G12" s="57">
        <v>12705</v>
      </c>
      <c r="I12" s="57">
        <v>11355</v>
      </c>
      <c r="K12" s="57">
        <v>10891</v>
      </c>
      <c r="M12" s="57">
        <v>10372</v>
      </c>
    </row>
    <row r="13" spans="1:13">
      <c r="A13" s="13" t="s">
        <v>20</v>
      </c>
      <c r="B13" s="13" t="s">
        <v>378</v>
      </c>
      <c r="C13" s="13" t="s">
        <v>201</v>
      </c>
      <c r="E13" s="57">
        <v>6569</v>
      </c>
      <c r="G13" s="57">
        <v>7796</v>
      </c>
      <c r="I13" s="57">
        <v>6962</v>
      </c>
      <c r="K13" s="57">
        <v>6039</v>
      </c>
      <c r="M13" s="57">
        <v>5525</v>
      </c>
    </row>
    <row r="14" spans="1:13">
      <c r="A14" s="13" t="s">
        <v>20</v>
      </c>
      <c r="B14" s="13" t="s">
        <v>379</v>
      </c>
      <c r="C14" s="13" t="s">
        <v>829</v>
      </c>
      <c r="E14" s="57">
        <v>15825</v>
      </c>
      <c r="G14" s="57">
        <v>13252</v>
      </c>
      <c r="I14" s="57">
        <v>10666</v>
      </c>
      <c r="K14" s="57">
        <v>11669</v>
      </c>
      <c r="M14" s="57">
        <v>12915</v>
      </c>
    </row>
    <row r="15" spans="1:13">
      <c r="A15" s="13" t="s">
        <v>20</v>
      </c>
      <c r="B15" s="13" t="s">
        <v>379</v>
      </c>
      <c r="C15" s="13" t="s">
        <v>201</v>
      </c>
      <c r="E15" s="57">
        <v>6390</v>
      </c>
      <c r="G15" s="57">
        <v>5159</v>
      </c>
      <c r="I15" s="57">
        <v>4031</v>
      </c>
      <c r="K15" s="57">
        <v>4926</v>
      </c>
      <c r="M15" s="57">
        <v>4171</v>
      </c>
    </row>
    <row r="16" spans="1:13">
      <c r="A16" s="35"/>
      <c r="B16" s="35"/>
      <c r="C16" s="35"/>
      <c r="D16" s="35"/>
      <c r="E16" s="35"/>
      <c r="F16" s="35"/>
      <c r="G16" s="35"/>
      <c r="H16" s="35"/>
      <c r="I16" s="35"/>
      <c r="J16" s="35"/>
      <c r="K16" s="35"/>
      <c r="L16" s="35"/>
      <c r="M16" s="35"/>
    </row>
    <row r="18" spans="1:1">
      <c r="A18" s="13" t="s">
        <v>794</v>
      </c>
    </row>
    <row r="21" spans="1:1">
      <c r="A21" s="46" t="str">
        <f>HYPERLINK("[UKMY 2023 PrintableV1.1 12_09_24.xlsx]Contents!A1","Return to contents page")</f>
        <v>Return to contents page</v>
      </c>
    </row>
    <row r="64" spans="5:5">
      <c r="E64" s="47"/>
    </row>
  </sheetData>
  <sortState xmlns:xlrd2="http://schemas.microsoft.com/office/spreadsheetml/2017/richdata2" ref="A3:M15">
    <sortCondition ref="A10:A15"/>
    <sortCondition ref="B10:B15"/>
  </sortState>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A403-D9D3-4995-9C2D-F278BAA5F44E}">
  <dimension ref="A1:M64"/>
  <sheetViews>
    <sheetView view="pageBreakPreview" zoomScaleNormal="100" zoomScaleSheetLayoutView="100" workbookViewId="0">
      <selection activeCell="A19" sqref="A19"/>
    </sheetView>
  </sheetViews>
  <sheetFormatPr defaultColWidth="9.1796875" defaultRowHeight="14"/>
  <cols>
    <col min="1" max="1" width="21.1796875" style="13" customWidth="1"/>
    <col min="2" max="2" width="26.26953125" style="13" bestFit="1" customWidth="1"/>
    <col min="3" max="3" width="15.26953125" style="13" bestFit="1" customWidth="1"/>
    <col min="4" max="4" width="2.1796875" style="13" bestFit="1" customWidth="1"/>
    <col min="5" max="5" width="10.179687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6384" width="9.1796875" style="13"/>
  </cols>
  <sheetData>
    <row r="1" spans="1:13" ht="15.5">
      <c r="A1" s="51" t="s">
        <v>380</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174</v>
      </c>
      <c r="C3" s="13" t="s">
        <v>201</v>
      </c>
      <c r="D3" s="13" t="s">
        <v>221</v>
      </c>
      <c r="E3" s="57">
        <v>1400000</v>
      </c>
      <c r="F3" s="13" t="s">
        <v>221</v>
      </c>
      <c r="G3" s="57">
        <v>1600000</v>
      </c>
      <c r="H3" s="13" t="s">
        <v>221</v>
      </c>
      <c r="I3" s="57">
        <v>1300000</v>
      </c>
      <c r="J3" s="13" t="s">
        <v>221</v>
      </c>
      <c r="K3" s="57">
        <v>2400000</v>
      </c>
      <c r="L3" s="13" t="s">
        <v>221</v>
      </c>
      <c r="M3" s="57">
        <v>2400000</v>
      </c>
    </row>
    <row r="5" spans="1:13">
      <c r="A5" s="13" t="s">
        <v>19</v>
      </c>
      <c r="B5" s="13" t="s">
        <v>381</v>
      </c>
      <c r="C5" s="13" t="s">
        <v>829</v>
      </c>
      <c r="E5" s="57">
        <v>24371</v>
      </c>
      <c r="G5" s="57">
        <v>19848</v>
      </c>
      <c r="I5" s="57">
        <v>27676</v>
      </c>
      <c r="K5" s="57">
        <v>27711</v>
      </c>
      <c r="M5" s="57">
        <v>52538</v>
      </c>
    </row>
    <row r="6" spans="1:13">
      <c r="A6" s="13" t="s">
        <v>19</v>
      </c>
      <c r="B6" s="13" t="s">
        <v>381</v>
      </c>
      <c r="C6" s="13" t="s">
        <v>201</v>
      </c>
      <c r="E6" s="57">
        <v>814303</v>
      </c>
      <c r="G6" s="57">
        <v>342758</v>
      </c>
      <c r="I6" s="57">
        <v>453293</v>
      </c>
      <c r="K6" s="57">
        <v>549818</v>
      </c>
      <c r="M6" s="57">
        <v>1069842</v>
      </c>
    </row>
    <row r="7" spans="1:13">
      <c r="A7" s="13" t="s">
        <v>19</v>
      </c>
      <c r="B7" s="13" t="s">
        <v>382</v>
      </c>
      <c r="C7" s="13" t="s">
        <v>829</v>
      </c>
      <c r="E7" s="57">
        <v>20644</v>
      </c>
      <c r="G7" s="57">
        <v>30036</v>
      </c>
      <c r="I7" s="57">
        <v>26126</v>
      </c>
      <c r="K7" s="57">
        <v>15130</v>
      </c>
      <c r="M7" s="57">
        <v>49065</v>
      </c>
    </row>
    <row r="8" spans="1:13">
      <c r="A8" s="13" t="s">
        <v>19</v>
      </c>
      <c r="B8" s="13" t="s">
        <v>382</v>
      </c>
      <c r="C8" s="13" t="s">
        <v>201</v>
      </c>
      <c r="E8" s="57">
        <v>1506933</v>
      </c>
      <c r="G8" s="57">
        <v>2116960</v>
      </c>
      <c r="I8" s="57">
        <v>1564541</v>
      </c>
      <c r="K8" s="57">
        <v>779576</v>
      </c>
      <c r="M8" s="57">
        <v>1371152</v>
      </c>
    </row>
    <row r="10" spans="1:13">
      <c r="A10" s="13" t="s">
        <v>20</v>
      </c>
      <c r="B10" s="13" t="s">
        <v>381</v>
      </c>
      <c r="C10" s="13" t="s">
        <v>829</v>
      </c>
      <c r="E10" s="57">
        <v>14547</v>
      </c>
      <c r="G10" s="57">
        <v>14642</v>
      </c>
      <c r="I10" s="57">
        <v>11739</v>
      </c>
      <c r="K10" s="57">
        <v>15831</v>
      </c>
      <c r="M10" s="57">
        <v>16698</v>
      </c>
    </row>
    <row r="11" spans="1:13">
      <c r="A11" s="13" t="s">
        <v>20</v>
      </c>
      <c r="B11" s="13" t="s">
        <v>381</v>
      </c>
      <c r="C11" s="13" t="s">
        <v>201</v>
      </c>
      <c r="E11" s="57">
        <v>32011</v>
      </c>
      <c r="G11" s="57">
        <v>31711</v>
      </c>
      <c r="I11" s="57">
        <v>26692</v>
      </c>
      <c r="K11" s="57">
        <v>31440</v>
      </c>
      <c r="M11" s="57">
        <v>30406</v>
      </c>
    </row>
    <row r="12" spans="1:13">
      <c r="A12" s="13" t="s">
        <v>20</v>
      </c>
      <c r="B12" s="13" t="s">
        <v>382</v>
      </c>
      <c r="C12" s="13" t="s">
        <v>829</v>
      </c>
      <c r="E12" s="57">
        <v>2560</v>
      </c>
      <c r="G12" s="57">
        <v>2174</v>
      </c>
      <c r="I12" s="57">
        <v>2293</v>
      </c>
      <c r="K12" s="57">
        <v>2554</v>
      </c>
      <c r="M12" s="57">
        <v>3120</v>
      </c>
    </row>
    <row r="13" spans="1:13">
      <c r="A13" s="13" t="s">
        <v>20</v>
      </c>
      <c r="B13" s="13" t="s">
        <v>382</v>
      </c>
      <c r="C13" s="13" t="s">
        <v>201</v>
      </c>
      <c r="E13" s="57">
        <v>13692</v>
      </c>
      <c r="G13" s="57">
        <v>5401</v>
      </c>
      <c r="I13" s="57">
        <v>21126</v>
      </c>
      <c r="K13" s="57">
        <v>6555</v>
      </c>
      <c r="M13" s="57">
        <v>14947</v>
      </c>
    </row>
    <row r="14" spans="1:13">
      <c r="A14" s="35"/>
      <c r="B14" s="35"/>
      <c r="C14" s="35"/>
      <c r="D14" s="35"/>
      <c r="E14" s="35"/>
      <c r="F14" s="35"/>
      <c r="G14" s="35"/>
      <c r="H14" s="35"/>
      <c r="I14" s="35"/>
      <c r="J14" s="35"/>
      <c r="K14" s="35"/>
      <c r="L14" s="35"/>
      <c r="M14" s="35"/>
    </row>
    <row r="16" spans="1:13">
      <c r="A16" s="13" t="s">
        <v>14</v>
      </c>
      <c r="B16" s="13" t="s">
        <v>15</v>
      </c>
    </row>
    <row r="17" spans="1:2">
      <c r="A17" s="13" t="s">
        <v>221</v>
      </c>
      <c r="B17" s="13" t="s">
        <v>297</v>
      </c>
    </row>
    <row r="19" spans="1:2">
      <c r="A19" s="13" t="s">
        <v>795</v>
      </c>
    </row>
    <row r="22" spans="1:2">
      <c r="A22" s="46" t="str">
        <f>HYPERLINK("[UKMY 2023 PrintableV1.1 12_09_24.xlsx]Contents!A1","Return to contents page")</f>
        <v>Return to contents page</v>
      </c>
    </row>
    <row r="64" spans="5:5">
      <c r="E64" s="47"/>
    </row>
  </sheetData>
  <sortState xmlns:xlrd2="http://schemas.microsoft.com/office/spreadsheetml/2017/richdata2" ref="A3:M13">
    <sortCondition ref="A10:A13"/>
    <sortCondition ref="B10:B13"/>
  </sortState>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023B-36C0-44F6-B023-DD6A374868C7}">
  <dimension ref="A1:M64"/>
  <sheetViews>
    <sheetView view="pageBreakPreview" zoomScaleNormal="100" zoomScaleSheetLayoutView="100" workbookViewId="0">
      <selection activeCell="A3" sqref="A3"/>
    </sheetView>
  </sheetViews>
  <sheetFormatPr defaultColWidth="9.1796875" defaultRowHeight="14"/>
  <cols>
    <col min="1" max="1" width="21.453125" style="13" customWidth="1"/>
    <col min="2" max="2" width="26.26953125" style="13" bestFit="1" customWidth="1"/>
    <col min="3" max="3" width="15.26953125" style="13" bestFit="1" customWidth="1"/>
    <col min="4" max="4" width="2.1796875" style="13" bestFit="1" customWidth="1"/>
    <col min="5" max="5" width="6.1796875" style="13" bestFit="1" customWidth="1"/>
    <col min="6" max="6" width="2.1796875" style="13" bestFit="1" customWidth="1"/>
    <col min="7" max="7" width="6.1796875" style="13" bestFit="1" customWidth="1"/>
    <col min="8" max="8" width="2.1796875" style="13" bestFit="1" customWidth="1"/>
    <col min="9" max="9" width="6.1796875" style="13" bestFit="1" customWidth="1"/>
    <col min="10" max="10" width="2.1796875" style="13" bestFit="1" customWidth="1"/>
    <col min="11" max="11" width="6.1796875" style="13" bestFit="1" customWidth="1"/>
    <col min="12" max="12" width="2.1796875" style="13" bestFit="1" customWidth="1"/>
    <col min="13" max="13" width="5.54296875" style="13" bestFit="1" customWidth="1"/>
    <col min="14" max="16384" width="9.1796875" style="13"/>
  </cols>
  <sheetData>
    <row r="1" spans="1:13" ht="15.5">
      <c r="A1" s="20" t="s">
        <v>383</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384</v>
      </c>
      <c r="C3" s="13" t="s">
        <v>829</v>
      </c>
      <c r="E3" s="57">
        <v>4275</v>
      </c>
      <c r="G3" s="57">
        <v>7985</v>
      </c>
      <c r="I3" s="57">
        <v>2939</v>
      </c>
      <c r="K3" s="57">
        <v>7231</v>
      </c>
    </row>
    <row r="4" spans="1:13">
      <c r="A4" s="13" t="s">
        <v>19</v>
      </c>
      <c r="B4" s="13" t="s">
        <v>384</v>
      </c>
      <c r="C4" s="13" t="s">
        <v>201</v>
      </c>
      <c r="E4" s="13">
        <v>13</v>
      </c>
      <c r="G4" s="13">
        <v>17</v>
      </c>
      <c r="I4" s="13">
        <v>7</v>
      </c>
      <c r="K4" s="13">
        <v>17</v>
      </c>
    </row>
    <row r="6" spans="1:13">
      <c r="A6" s="13" t="s">
        <v>20</v>
      </c>
      <c r="B6" s="13" t="s">
        <v>384</v>
      </c>
      <c r="C6" s="13" t="s">
        <v>829</v>
      </c>
      <c r="E6" s="57">
        <v>2510</v>
      </c>
      <c r="G6" s="57">
        <v>2424</v>
      </c>
      <c r="I6" s="57">
        <v>1330</v>
      </c>
      <c r="K6" s="57">
        <v>5206</v>
      </c>
    </row>
    <row r="7" spans="1:13">
      <c r="A7" s="13" t="s">
        <v>20</v>
      </c>
      <c r="B7" s="13" t="s">
        <v>384</v>
      </c>
      <c r="C7" s="13" t="s">
        <v>201</v>
      </c>
      <c r="E7" s="13">
        <v>6</v>
      </c>
      <c r="G7" s="13">
        <v>10</v>
      </c>
      <c r="I7" s="13">
        <v>3</v>
      </c>
      <c r="K7" s="13">
        <v>7</v>
      </c>
    </row>
    <row r="8" spans="1:13">
      <c r="A8" s="35"/>
      <c r="B8" s="35"/>
      <c r="C8" s="35"/>
      <c r="D8" s="35"/>
      <c r="E8" s="35"/>
      <c r="F8" s="35"/>
      <c r="G8" s="35"/>
      <c r="H8" s="35"/>
      <c r="I8" s="35"/>
      <c r="J8" s="35"/>
      <c r="K8" s="35"/>
      <c r="L8" s="35"/>
      <c r="M8" s="35"/>
    </row>
    <row r="11" spans="1:13">
      <c r="A1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99A6D-E468-4B00-B990-42A4F87A4B5C}">
  <dimension ref="A1:M64"/>
  <sheetViews>
    <sheetView view="pageBreakPreview" zoomScaleNormal="100" zoomScaleSheetLayoutView="100" workbookViewId="0">
      <selection activeCell="A5" sqref="A5"/>
    </sheetView>
  </sheetViews>
  <sheetFormatPr defaultColWidth="9.1796875" defaultRowHeight="14"/>
  <cols>
    <col min="1" max="1" width="19" style="13" customWidth="1"/>
    <col min="2" max="2" width="33.453125" style="13" bestFit="1" customWidth="1"/>
    <col min="3" max="3" width="15.26953125" style="13" bestFit="1" customWidth="1"/>
    <col min="4" max="4" width="2.1796875" style="13" bestFit="1" customWidth="1"/>
    <col min="5" max="5" width="10.1796875" style="13" bestFit="1" customWidth="1"/>
    <col min="6" max="6" width="2.1796875" style="13" bestFit="1" customWidth="1"/>
    <col min="7" max="7" width="10.1796875" style="13" bestFit="1" customWidth="1"/>
    <col min="8" max="8" width="2.1796875" style="13" bestFit="1" customWidth="1"/>
    <col min="9" max="9" width="10.1796875" style="13" bestFit="1" customWidth="1"/>
    <col min="10" max="10" width="2.1796875" style="13" bestFit="1" customWidth="1"/>
    <col min="11" max="11" width="10.1796875" style="13" bestFit="1" customWidth="1"/>
    <col min="12" max="12" width="2.1796875" style="13" bestFit="1" customWidth="1"/>
    <col min="13" max="13" width="10.1796875" style="13" bestFit="1" customWidth="1"/>
    <col min="14" max="16384" width="9.1796875" style="13"/>
  </cols>
  <sheetData>
    <row r="1" spans="1:13">
      <c r="A1" s="70" t="s">
        <v>385</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710</v>
      </c>
      <c r="C3" s="13" t="s">
        <v>829</v>
      </c>
    </row>
    <row r="4" spans="1:13">
      <c r="A4" s="13" t="s">
        <v>38</v>
      </c>
      <c r="B4" s="13" t="s">
        <v>710</v>
      </c>
      <c r="C4" s="13" t="s">
        <v>201</v>
      </c>
    </row>
    <row r="6" spans="1:13">
      <c r="A6" s="13" t="s">
        <v>19</v>
      </c>
      <c r="B6" s="13" t="s">
        <v>741</v>
      </c>
      <c r="C6" s="13" t="s">
        <v>829</v>
      </c>
      <c r="E6" s="57">
        <v>57095</v>
      </c>
      <c r="G6" s="57">
        <v>63284</v>
      </c>
      <c r="I6" s="57">
        <v>71258</v>
      </c>
      <c r="K6" s="57">
        <v>79060</v>
      </c>
      <c r="M6" s="57">
        <v>72469</v>
      </c>
    </row>
    <row r="7" spans="1:13">
      <c r="A7" s="13" t="s">
        <v>19</v>
      </c>
      <c r="B7" s="13" t="s">
        <v>741</v>
      </c>
      <c r="C7" s="13" t="s">
        <v>201</v>
      </c>
      <c r="E7" s="57">
        <v>2953475</v>
      </c>
      <c r="G7" s="57">
        <v>3197438</v>
      </c>
      <c r="I7" s="57">
        <v>3426506</v>
      </c>
      <c r="K7" s="57">
        <v>3983561</v>
      </c>
      <c r="M7" s="57">
        <v>4335654</v>
      </c>
    </row>
    <row r="8" spans="1:13">
      <c r="A8" s="13" t="s">
        <v>19</v>
      </c>
      <c r="B8" s="13" t="s">
        <v>744</v>
      </c>
      <c r="C8" s="13" t="s">
        <v>829</v>
      </c>
      <c r="E8" s="57">
        <v>55251</v>
      </c>
      <c r="G8" s="57">
        <v>54037</v>
      </c>
      <c r="I8" s="57">
        <v>40345</v>
      </c>
      <c r="K8" s="57">
        <v>57130</v>
      </c>
      <c r="M8" s="57">
        <v>72323</v>
      </c>
    </row>
    <row r="9" spans="1:13">
      <c r="A9" s="13" t="s">
        <v>19</v>
      </c>
      <c r="B9" s="13" t="s">
        <v>744</v>
      </c>
      <c r="C9" s="13" t="s">
        <v>201</v>
      </c>
      <c r="E9" s="57">
        <v>73114</v>
      </c>
      <c r="G9" s="57">
        <v>69443</v>
      </c>
      <c r="I9" s="57">
        <v>51295</v>
      </c>
      <c r="K9" s="57">
        <v>62799</v>
      </c>
      <c r="M9" s="57">
        <v>74790</v>
      </c>
    </row>
    <row r="11" spans="1:13">
      <c r="A11" s="13" t="s">
        <v>20</v>
      </c>
      <c r="B11" s="13" t="s">
        <v>741</v>
      </c>
      <c r="C11" s="13" t="s">
        <v>829</v>
      </c>
      <c r="E11" s="57">
        <v>2361</v>
      </c>
      <c r="G11" s="57">
        <v>1913</v>
      </c>
      <c r="I11" s="13">
        <v>573</v>
      </c>
      <c r="K11" s="13">
        <v>821</v>
      </c>
      <c r="M11" s="13">
        <v>831</v>
      </c>
    </row>
    <row r="12" spans="1:13">
      <c r="A12" s="13" t="s">
        <v>20</v>
      </c>
      <c r="B12" s="13" t="s">
        <v>741</v>
      </c>
      <c r="C12" s="13" t="s">
        <v>201</v>
      </c>
      <c r="E12" s="57">
        <v>12705</v>
      </c>
      <c r="G12" s="57">
        <v>11536</v>
      </c>
      <c r="I12" s="57">
        <v>1747</v>
      </c>
      <c r="K12" s="57">
        <v>2068</v>
      </c>
      <c r="M12" s="13">
        <v>650</v>
      </c>
    </row>
    <row r="13" spans="1:13">
      <c r="A13" s="13" t="s">
        <v>20</v>
      </c>
      <c r="B13" s="13" t="s">
        <v>744</v>
      </c>
      <c r="C13" s="13" t="s">
        <v>829</v>
      </c>
      <c r="E13" s="57">
        <v>1196</v>
      </c>
      <c r="G13" s="57">
        <v>1330</v>
      </c>
      <c r="I13" s="57">
        <v>1508</v>
      </c>
      <c r="K13" s="57">
        <v>1611</v>
      </c>
      <c r="M13" s="57">
        <v>1567</v>
      </c>
    </row>
    <row r="14" spans="1:13">
      <c r="A14" s="13" t="s">
        <v>20</v>
      </c>
      <c r="B14" s="13" t="s">
        <v>744</v>
      </c>
      <c r="C14" s="13" t="s">
        <v>201</v>
      </c>
      <c r="E14" s="13">
        <v>849</v>
      </c>
      <c r="G14" s="13">
        <v>689</v>
      </c>
      <c r="I14" s="57">
        <v>1605</v>
      </c>
      <c r="K14" s="13">
        <v>870</v>
      </c>
      <c r="M14" s="57">
        <v>1094</v>
      </c>
    </row>
    <row r="15" spans="1:13">
      <c r="A15" s="35"/>
      <c r="B15" s="35"/>
      <c r="C15" s="35"/>
      <c r="D15" s="35"/>
      <c r="E15" s="35"/>
      <c r="F15" s="35"/>
      <c r="G15" s="35"/>
      <c r="H15" s="35"/>
      <c r="I15" s="35"/>
      <c r="J15" s="35"/>
      <c r="K15" s="35"/>
      <c r="L15" s="35"/>
      <c r="M15" s="35"/>
    </row>
    <row r="18" spans="1:1">
      <c r="A18"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4E03D-F364-451A-BB41-37E36B7AB9DF}">
  <dimension ref="A1:M64"/>
  <sheetViews>
    <sheetView view="pageBreakPreview" zoomScaleNormal="100" zoomScaleSheetLayoutView="100" workbookViewId="0">
      <selection activeCell="A3" sqref="A3"/>
    </sheetView>
  </sheetViews>
  <sheetFormatPr defaultColWidth="9.1796875" defaultRowHeight="14"/>
  <cols>
    <col min="1" max="1" width="18.26953125" style="13" customWidth="1"/>
    <col min="2" max="2" width="39.7265625" style="13" customWidth="1"/>
    <col min="3" max="3" width="15.26953125" style="13" bestFit="1" customWidth="1"/>
    <col min="4" max="4" width="3.54296875" style="13" bestFit="1" customWidth="1"/>
    <col min="5" max="5" width="7.26953125" style="13" bestFit="1" customWidth="1"/>
    <col min="6" max="6" width="3.54296875" style="13" bestFit="1" customWidth="1"/>
    <col min="7" max="7" width="8.453125" style="13" bestFit="1" customWidth="1"/>
    <col min="8" max="8" width="3.54296875" style="13" bestFit="1" customWidth="1"/>
    <col min="9" max="9" width="7.26953125" style="13" bestFit="1" customWidth="1"/>
    <col min="10" max="10" width="3.54296875" style="13" bestFit="1" customWidth="1"/>
    <col min="11" max="11" width="8.453125" style="13" bestFit="1" customWidth="1"/>
    <col min="12" max="12" width="3.54296875" style="13" bestFit="1" customWidth="1"/>
    <col min="13" max="13" width="8.453125" style="13" bestFit="1" customWidth="1"/>
    <col min="14" max="16384" width="9.1796875" style="13"/>
  </cols>
  <sheetData>
    <row r="1" spans="1:13" ht="15.5">
      <c r="A1" s="51" t="s">
        <v>386</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716</v>
      </c>
      <c r="C3" s="13" t="s">
        <v>829</v>
      </c>
      <c r="D3" s="13" t="s">
        <v>209</v>
      </c>
      <c r="E3" s="57">
        <v>10740</v>
      </c>
      <c r="F3" s="13" t="s">
        <v>209</v>
      </c>
      <c r="G3" s="57">
        <v>13880</v>
      </c>
      <c r="H3" s="13" t="s">
        <v>209</v>
      </c>
      <c r="I3" s="57">
        <v>10564</v>
      </c>
      <c r="J3" s="13" t="s">
        <v>209</v>
      </c>
      <c r="K3" s="57">
        <v>11543</v>
      </c>
      <c r="L3" s="13" t="s">
        <v>209</v>
      </c>
      <c r="M3" s="57">
        <v>18278</v>
      </c>
    </row>
    <row r="4" spans="1:13">
      <c r="A4" s="13" t="s">
        <v>19</v>
      </c>
      <c r="B4" s="13" t="s">
        <v>716</v>
      </c>
      <c r="C4" s="13" t="s">
        <v>201</v>
      </c>
      <c r="D4" s="13" t="s">
        <v>209</v>
      </c>
      <c r="E4" s="57">
        <v>60215</v>
      </c>
      <c r="F4" s="13" t="s">
        <v>209</v>
      </c>
      <c r="G4" s="57">
        <v>65908</v>
      </c>
      <c r="H4" s="13" t="s">
        <v>209</v>
      </c>
      <c r="I4" s="57">
        <v>50355</v>
      </c>
      <c r="J4" s="13" t="s">
        <v>209</v>
      </c>
      <c r="K4" s="57">
        <v>72651</v>
      </c>
      <c r="L4" s="13" t="s">
        <v>209</v>
      </c>
      <c r="M4" s="57">
        <v>94479</v>
      </c>
    </row>
    <row r="5" spans="1:13">
      <c r="A5" s="13" t="s">
        <v>19</v>
      </c>
      <c r="B5" s="13" t="s">
        <v>717</v>
      </c>
      <c r="C5" s="13" t="s">
        <v>829</v>
      </c>
      <c r="D5" s="13" t="s">
        <v>205</v>
      </c>
      <c r="E5" s="57">
        <v>39333</v>
      </c>
      <c r="F5" s="13" t="s">
        <v>205</v>
      </c>
      <c r="G5" s="57">
        <v>37497</v>
      </c>
      <c r="H5" s="13" t="s">
        <v>205</v>
      </c>
      <c r="I5" s="57">
        <v>34053</v>
      </c>
      <c r="J5" s="13" t="s">
        <v>205</v>
      </c>
      <c r="K5" s="57">
        <v>40439</v>
      </c>
      <c r="L5" s="13" t="s">
        <v>205</v>
      </c>
      <c r="M5" s="57">
        <v>61364</v>
      </c>
    </row>
    <row r="6" spans="1:13">
      <c r="A6" s="13" t="s">
        <v>19</v>
      </c>
      <c r="B6" s="13" t="s">
        <v>717</v>
      </c>
      <c r="C6" s="13" t="s">
        <v>201</v>
      </c>
      <c r="D6" s="13" t="s">
        <v>205</v>
      </c>
      <c r="E6" s="57">
        <v>32361</v>
      </c>
      <c r="F6" s="13" t="s">
        <v>205</v>
      </c>
      <c r="G6" s="57">
        <v>31615</v>
      </c>
      <c r="H6" s="13" t="s">
        <v>205</v>
      </c>
      <c r="I6" s="57">
        <v>21548</v>
      </c>
      <c r="J6" s="13" t="s">
        <v>205</v>
      </c>
      <c r="K6" s="57">
        <v>24043</v>
      </c>
      <c r="L6" s="13" t="s">
        <v>205</v>
      </c>
      <c r="M6" s="57">
        <v>35325</v>
      </c>
    </row>
    <row r="7" spans="1:13">
      <c r="A7" s="13" t="s">
        <v>19</v>
      </c>
      <c r="B7" s="13" t="s">
        <v>718</v>
      </c>
      <c r="C7" s="13" t="s">
        <v>829</v>
      </c>
      <c r="D7" s="13" t="s">
        <v>212</v>
      </c>
      <c r="E7" s="57">
        <v>76539</v>
      </c>
      <c r="F7" s="13" t="s">
        <v>212</v>
      </c>
      <c r="G7" s="57">
        <v>72975</v>
      </c>
      <c r="H7" s="13" t="s">
        <v>212</v>
      </c>
      <c r="I7" s="57">
        <v>51592</v>
      </c>
      <c r="J7" s="13" t="s">
        <v>212</v>
      </c>
      <c r="K7" s="57">
        <v>60037</v>
      </c>
      <c r="L7" s="13" t="s">
        <v>212</v>
      </c>
      <c r="M7" s="57">
        <v>77290</v>
      </c>
    </row>
    <row r="8" spans="1:13">
      <c r="A8" s="13" t="s">
        <v>19</v>
      </c>
      <c r="B8" s="13" t="s">
        <v>718</v>
      </c>
      <c r="C8" s="13" t="s">
        <v>201</v>
      </c>
      <c r="D8" s="13" t="s">
        <v>212</v>
      </c>
      <c r="E8" s="57">
        <v>46511</v>
      </c>
      <c r="F8" s="13" t="s">
        <v>212</v>
      </c>
      <c r="G8" s="57">
        <v>37172</v>
      </c>
      <c r="H8" s="13" t="s">
        <v>212</v>
      </c>
      <c r="I8" s="57">
        <v>28247</v>
      </c>
      <c r="J8" s="13" t="s">
        <v>212</v>
      </c>
      <c r="K8" s="57">
        <v>29069</v>
      </c>
      <c r="L8" s="13" t="s">
        <v>212</v>
      </c>
      <c r="M8" s="57">
        <v>35223</v>
      </c>
    </row>
    <row r="10" spans="1:13">
      <c r="A10" s="13" t="s">
        <v>20</v>
      </c>
      <c r="B10" s="13" t="s">
        <v>716</v>
      </c>
      <c r="C10" s="13" t="s">
        <v>829</v>
      </c>
      <c r="D10" s="13" t="s">
        <v>209</v>
      </c>
      <c r="E10" s="57">
        <v>24146</v>
      </c>
      <c r="F10" s="13" t="s">
        <v>209</v>
      </c>
      <c r="G10" s="57">
        <v>26434</v>
      </c>
      <c r="H10" s="13" t="s">
        <v>209</v>
      </c>
      <c r="I10" s="57">
        <v>22451</v>
      </c>
      <c r="J10" s="13" t="s">
        <v>209</v>
      </c>
      <c r="K10" s="57">
        <v>35349</v>
      </c>
      <c r="L10" s="13" t="s">
        <v>209</v>
      </c>
      <c r="M10" s="57">
        <v>39834</v>
      </c>
    </row>
    <row r="11" spans="1:13">
      <c r="A11" s="13" t="s">
        <v>20</v>
      </c>
      <c r="B11" s="13" t="s">
        <v>716</v>
      </c>
      <c r="C11" s="13" t="s">
        <v>201</v>
      </c>
      <c r="D11" s="13" t="s">
        <v>209</v>
      </c>
      <c r="E11" s="57">
        <v>13666</v>
      </c>
      <c r="F11" s="13" t="s">
        <v>209</v>
      </c>
      <c r="G11" s="57">
        <v>12468</v>
      </c>
      <c r="H11" s="13" t="s">
        <v>209</v>
      </c>
      <c r="I11" s="57">
        <v>10400</v>
      </c>
      <c r="J11" s="13" t="s">
        <v>209</v>
      </c>
      <c r="K11" s="57">
        <v>14457</v>
      </c>
      <c r="L11" s="13" t="s">
        <v>209</v>
      </c>
      <c r="M11" s="57">
        <v>15870</v>
      </c>
    </row>
    <row r="12" spans="1:13">
      <c r="A12" s="13" t="s">
        <v>20</v>
      </c>
      <c r="B12" s="13" t="s">
        <v>717</v>
      </c>
      <c r="C12" s="13" t="s">
        <v>829</v>
      </c>
      <c r="D12" s="13" t="s">
        <v>205</v>
      </c>
      <c r="E12" s="57">
        <v>83037</v>
      </c>
      <c r="F12" s="13" t="s">
        <v>205</v>
      </c>
      <c r="G12" s="57">
        <v>101804</v>
      </c>
      <c r="H12" s="13" t="s">
        <v>205</v>
      </c>
      <c r="I12" s="57">
        <v>90454</v>
      </c>
      <c r="J12" s="13" t="s">
        <v>205</v>
      </c>
      <c r="K12" s="57">
        <v>134954</v>
      </c>
      <c r="L12" s="13" t="s">
        <v>205</v>
      </c>
      <c r="M12" s="57">
        <v>142112</v>
      </c>
    </row>
    <row r="13" spans="1:13">
      <c r="A13" s="13" t="s">
        <v>20</v>
      </c>
      <c r="B13" s="13" t="s">
        <v>717</v>
      </c>
      <c r="C13" s="13" t="s">
        <v>201</v>
      </c>
      <c r="D13" s="13" t="s">
        <v>205</v>
      </c>
      <c r="E13" s="57">
        <v>58046</v>
      </c>
      <c r="F13" s="13" t="s">
        <v>205</v>
      </c>
      <c r="G13" s="57">
        <v>66518</v>
      </c>
      <c r="H13" s="13" t="s">
        <v>205</v>
      </c>
      <c r="I13" s="57">
        <v>61447</v>
      </c>
      <c r="J13" s="13" t="s">
        <v>205</v>
      </c>
      <c r="K13" s="57">
        <v>56257</v>
      </c>
      <c r="L13" s="13" t="s">
        <v>205</v>
      </c>
      <c r="M13" s="57">
        <v>58471</v>
      </c>
    </row>
    <row r="14" spans="1:13">
      <c r="A14" s="13" t="s">
        <v>20</v>
      </c>
      <c r="B14" s="13" t="s">
        <v>718</v>
      </c>
      <c r="C14" s="13" t="s">
        <v>829</v>
      </c>
      <c r="D14" s="13" t="s">
        <v>212</v>
      </c>
      <c r="E14" s="57">
        <v>86113</v>
      </c>
      <c r="F14" s="13" t="s">
        <v>212</v>
      </c>
      <c r="G14" s="57">
        <v>79682</v>
      </c>
      <c r="H14" s="13" t="s">
        <v>212</v>
      </c>
      <c r="I14" s="57">
        <v>62709</v>
      </c>
      <c r="J14" s="13" t="s">
        <v>212</v>
      </c>
      <c r="K14" s="57">
        <v>43955</v>
      </c>
      <c r="L14" s="13" t="s">
        <v>212</v>
      </c>
      <c r="M14" s="57">
        <v>51573</v>
      </c>
    </row>
    <row r="15" spans="1:13">
      <c r="A15" s="13" t="s">
        <v>20</v>
      </c>
      <c r="B15" s="13" t="s">
        <v>718</v>
      </c>
      <c r="C15" s="13" t="s">
        <v>201</v>
      </c>
      <c r="D15" s="13" t="s">
        <v>212</v>
      </c>
      <c r="E15" s="57">
        <v>31984</v>
      </c>
      <c r="F15" s="13" t="s">
        <v>212</v>
      </c>
      <c r="G15" s="57">
        <v>30888</v>
      </c>
      <c r="H15" s="13" t="s">
        <v>212</v>
      </c>
      <c r="I15" s="57">
        <v>19597</v>
      </c>
      <c r="J15" s="13" t="s">
        <v>212</v>
      </c>
      <c r="K15" s="57">
        <v>11533</v>
      </c>
      <c r="L15" s="13" t="s">
        <v>212</v>
      </c>
      <c r="M15" s="57">
        <v>16584</v>
      </c>
    </row>
    <row r="16" spans="1:13">
      <c r="A16" s="35"/>
      <c r="B16" s="35"/>
      <c r="C16" s="35"/>
      <c r="D16" s="35"/>
      <c r="E16" s="35"/>
      <c r="F16" s="35"/>
      <c r="G16" s="35"/>
      <c r="H16" s="35"/>
      <c r="I16" s="35"/>
      <c r="J16" s="35"/>
      <c r="K16" s="35"/>
      <c r="L16" s="35"/>
      <c r="M16" s="35"/>
    </row>
    <row r="18" spans="1:2">
      <c r="A18" s="13" t="s">
        <v>14</v>
      </c>
      <c r="B18" s="13" t="s">
        <v>15</v>
      </c>
    </row>
    <row r="19" spans="1:2">
      <c r="A19" s="13" t="s">
        <v>214</v>
      </c>
      <c r="B19" s="13" t="s">
        <v>765</v>
      </c>
    </row>
    <row r="20" spans="1:2">
      <c r="A20" s="13" t="s">
        <v>215</v>
      </c>
      <c r="B20" s="13" t="s">
        <v>766</v>
      </c>
    </row>
    <row r="21" spans="1:2">
      <c r="A21" s="13" t="s">
        <v>216</v>
      </c>
      <c r="B21" s="13" t="s">
        <v>767</v>
      </c>
    </row>
    <row r="24" spans="1:2">
      <c r="A24" s="46" t="str">
        <f>HYPERLINK("[UKMY 2023 PrintableV1.1 12_09_24.xlsx]Contents!A1","Return to contents page")</f>
        <v>Return to contents page</v>
      </c>
    </row>
    <row r="64" spans="5:5">
      <c r="E64" s="47"/>
    </row>
  </sheetData>
  <sortState xmlns:xlrd2="http://schemas.microsoft.com/office/spreadsheetml/2017/richdata2" ref="A3:M16">
    <sortCondition ref="A10:A16"/>
    <sortCondition ref="B10:B16"/>
  </sortState>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0FD4A-3CC9-452F-B326-5302711C5EC7}">
  <dimension ref="A1:M64"/>
  <sheetViews>
    <sheetView view="pageBreakPreview" zoomScaleNormal="100" zoomScaleSheetLayoutView="100" workbookViewId="0">
      <selection activeCell="B8" sqref="B8"/>
    </sheetView>
  </sheetViews>
  <sheetFormatPr defaultColWidth="9.1796875" defaultRowHeight="14"/>
  <cols>
    <col min="1" max="1" width="21.54296875" style="13" customWidth="1"/>
    <col min="2" max="2" width="26.26953125" style="13" bestFit="1" customWidth="1"/>
    <col min="3" max="3" width="12.26953125" style="13" bestFit="1" customWidth="1"/>
    <col min="4" max="4" width="2.1796875" style="13" bestFit="1" customWidth="1"/>
    <col min="5" max="5" width="10.1796875" style="13" bestFit="1" customWidth="1"/>
    <col min="6" max="6" width="2.1796875" style="13" bestFit="1" customWidth="1"/>
    <col min="7" max="7" width="8.453125" style="13" bestFit="1" customWidth="1"/>
    <col min="8" max="8" width="2.1796875" style="13" bestFit="1" customWidth="1"/>
    <col min="9" max="9" width="8.453125" style="13" bestFit="1" customWidth="1"/>
    <col min="10" max="10" width="2.1796875" style="13" bestFit="1" customWidth="1"/>
    <col min="11" max="11" width="8.453125" style="13" bestFit="1" customWidth="1"/>
    <col min="12" max="12" width="2.1796875" style="13" bestFit="1" customWidth="1"/>
    <col min="13" max="13" width="8.453125" style="13" bestFit="1" customWidth="1"/>
    <col min="14" max="16384" width="9.1796875" style="13"/>
  </cols>
  <sheetData>
    <row r="1" spans="1:13" ht="15.5">
      <c r="A1" s="51" t="s">
        <v>387</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19</v>
      </c>
      <c r="B3" s="13" t="s">
        <v>388</v>
      </c>
      <c r="C3" s="13" t="s">
        <v>829</v>
      </c>
      <c r="E3" s="57">
        <v>17910</v>
      </c>
      <c r="G3" s="57">
        <v>18864</v>
      </c>
      <c r="I3" s="57">
        <v>22009</v>
      </c>
      <c r="K3" s="57">
        <v>24105</v>
      </c>
      <c r="M3" s="57">
        <v>41552</v>
      </c>
    </row>
    <row r="4" spans="1:13">
      <c r="A4" s="13" t="s">
        <v>19</v>
      </c>
      <c r="B4" s="13" t="s">
        <v>388</v>
      </c>
      <c r="C4" s="13" t="s">
        <v>273</v>
      </c>
      <c r="E4" s="57">
        <v>1004989</v>
      </c>
      <c r="G4" s="57">
        <v>847437</v>
      </c>
      <c r="I4" s="57">
        <v>820018</v>
      </c>
      <c r="K4" s="57">
        <v>923807</v>
      </c>
      <c r="M4" s="57">
        <v>887386</v>
      </c>
    </row>
    <row r="6" spans="1:13">
      <c r="A6" s="13" t="s">
        <v>20</v>
      </c>
      <c r="B6" s="13" t="s">
        <v>388</v>
      </c>
      <c r="C6" s="13" t="s">
        <v>829</v>
      </c>
      <c r="E6" s="57">
        <v>3271</v>
      </c>
      <c r="G6" s="57">
        <v>4455</v>
      </c>
      <c r="I6" s="57">
        <v>4733</v>
      </c>
      <c r="K6" s="57">
        <v>2771</v>
      </c>
      <c r="M6" s="57">
        <v>10425</v>
      </c>
    </row>
    <row r="7" spans="1:13">
      <c r="A7" s="13" t="s">
        <v>20</v>
      </c>
      <c r="B7" s="13" t="s">
        <v>388</v>
      </c>
      <c r="C7" s="13" t="s">
        <v>273</v>
      </c>
      <c r="E7" s="57">
        <v>205867</v>
      </c>
      <c r="G7" s="57">
        <v>225905</v>
      </c>
      <c r="I7" s="57">
        <v>173039</v>
      </c>
      <c r="K7" s="57">
        <v>177793</v>
      </c>
      <c r="M7" s="57">
        <v>237305</v>
      </c>
    </row>
    <row r="8" spans="1:13">
      <c r="A8" s="35"/>
      <c r="B8" s="35"/>
      <c r="C8" s="35"/>
      <c r="D8" s="35"/>
      <c r="E8" s="35"/>
      <c r="F8" s="35"/>
      <c r="G8" s="35"/>
      <c r="H8" s="35"/>
      <c r="I8" s="35"/>
      <c r="J8" s="35"/>
      <c r="K8" s="35"/>
      <c r="L8" s="35"/>
      <c r="M8" s="35"/>
    </row>
    <row r="11" spans="1:13">
      <c r="A11"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33A-20A9-4A83-86AE-FD79559E288D}">
  <dimension ref="A1:M64"/>
  <sheetViews>
    <sheetView view="pageBreakPreview" zoomScaleNormal="100" zoomScaleSheetLayoutView="100" workbookViewId="0">
      <selection activeCell="B4" sqref="B4"/>
    </sheetView>
  </sheetViews>
  <sheetFormatPr defaultColWidth="9.1796875" defaultRowHeight="14"/>
  <cols>
    <col min="1" max="1" width="13.26953125" style="13" customWidth="1"/>
    <col min="2" max="2" width="54.7265625" style="37" customWidth="1"/>
    <col min="3" max="3" width="15.26953125" style="13" bestFit="1" customWidth="1"/>
    <col min="4" max="4" width="2.1796875" style="13" bestFit="1" customWidth="1"/>
    <col min="5" max="5" width="7.26953125" style="13" bestFit="1" customWidth="1"/>
    <col min="6" max="6" width="2.1796875" style="13" bestFit="1" customWidth="1"/>
    <col min="7" max="7" width="7.26953125" style="13" bestFit="1" customWidth="1"/>
    <col min="8" max="8" width="2.1796875" style="13" bestFit="1" customWidth="1"/>
    <col min="9" max="9" width="7.26953125" style="13" bestFit="1" customWidth="1"/>
    <col min="10" max="10" width="2.1796875" style="13" bestFit="1" customWidth="1"/>
    <col min="11" max="11" width="7.26953125" style="13" bestFit="1" customWidth="1"/>
    <col min="12" max="12" width="2.1796875" style="13" bestFit="1" customWidth="1"/>
    <col min="13" max="13" width="7.26953125" style="13" bestFit="1" customWidth="1"/>
    <col min="14" max="16384" width="9.1796875" style="13"/>
  </cols>
  <sheetData>
    <row r="1" spans="1:13" ht="15.5">
      <c r="A1" s="51" t="s">
        <v>389</v>
      </c>
    </row>
    <row r="2" spans="1:13">
      <c r="A2" s="42" t="s">
        <v>670</v>
      </c>
      <c r="B2" s="58" t="s">
        <v>0</v>
      </c>
      <c r="C2" s="42" t="s">
        <v>669</v>
      </c>
      <c r="D2" s="42" t="s">
        <v>1</v>
      </c>
      <c r="E2" s="42">
        <v>2018</v>
      </c>
      <c r="F2" s="42" t="s">
        <v>1</v>
      </c>
      <c r="G2" s="42">
        <v>2019</v>
      </c>
      <c r="H2" s="42" t="s">
        <v>1</v>
      </c>
      <c r="I2" s="42">
        <v>2020</v>
      </c>
      <c r="J2" s="42" t="s">
        <v>1</v>
      </c>
      <c r="K2" s="42">
        <v>2021</v>
      </c>
      <c r="L2" s="42" t="s">
        <v>1</v>
      </c>
      <c r="M2" s="42">
        <v>2022</v>
      </c>
    </row>
    <row r="3" spans="1:13" ht="28">
      <c r="A3" s="13" t="s">
        <v>19</v>
      </c>
      <c r="B3" s="37" t="s">
        <v>390</v>
      </c>
      <c r="C3" s="13" t="s">
        <v>829</v>
      </c>
      <c r="E3" s="13">
        <v>23</v>
      </c>
      <c r="G3" s="13">
        <v>7</v>
      </c>
      <c r="I3" s="13">
        <v>2</v>
      </c>
      <c r="K3" s="13">
        <v>17</v>
      </c>
      <c r="M3" s="13">
        <v>298</v>
      </c>
    </row>
    <row r="4" spans="1:13" ht="28">
      <c r="A4" s="13" t="s">
        <v>19</v>
      </c>
      <c r="B4" s="37" t="s">
        <v>390</v>
      </c>
      <c r="C4" s="13" t="s">
        <v>201</v>
      </c>
      <c r="E4" s="13">
        <v>27</v>
      </c>
      <c r="G4" s="13">
        <v>1</v>
      </c>
      <c r="I4" s="13">
        <v>0</v>
      </c>
      <c r="K4" s="13">
        <v>8</v>
      </c>
      <c r="M4" s="13">
        <v>73</v>
      </c>
    </row>
    <row r="5" spans="1:13" ht="28">
      <c r="A5" s="13" t="s">
        <v>19</v>
      </c>
      <c r="B5" s="37" t="s">
        <v>746</v>
      </c>
      <c r="C5" s="13" t="s">
        <v>829</v>
      </c>
      <c r="E5" s="57">
        <v>27437</v>
      </c>
      <c r="G5" s="57">
        <v>27778</v>
      </c>
      <c r="I5" s="57">
        <v>23250</v>
      </c>
      <c r="K5" s="57">
        <v>30468</v>
      </c>
      <c r="M5" s="57">
        <v>37980</v>
      </c>
    </row>
    <row r="6" spans="1:13" ht="28">
      <c r="A6" s="13" t="s">
        <v>19</v>
      </c>
      <c r="B6" s="37" t="s">
        <v>746</v>
      </c>
      <c r="C6" s="13" t="s">
        <v>201</v>
      </c>
      <c r="E6" s="57">
        <v>30334</v>
      </c>
      <c r="G6" s="57">
        <v>33133</v>
      </c>
      <c r="I6" s="57">
        <v>26851</v>
      </c>
      <c r="K6" s="57">
        <v>30608</v>
      </c>
      <c r="M6" s="57">
        <v>27799</v>
      </c>
    </row>
    <row r="8" spans="1:13" ht="28">
      <c r="A8" s="13" t="s">
        <v>20</v>
      </c>
      <c r="B8" s="37" t="s">
        <v>390</v>
      </c>
      <c r="C8" s="13" t="s">
        <v>829</v>
      </c>
      <c r="E8" s="13">
        <v>84</v>
      </c>
      <c r="G8" s="13">
        <v>77</v>
      </c>
      <c r="I8" s="13">
        <v>164</v>
      </c>
      <c r="K8" s="13">
        <v>399</v>
      </c>
      <c r="M8" s="13">
        <v>592</v>
      </c>
    </row>
    <row r="9" spans="1:13" ht="28">
      <c r="A9" s="13" t="s">
        <v>20</v>
      </c>
      <c r="B9" s="37" t="s">
        <v>390</v>
      </c>
      <c r="C9" s="13" t="s">
        <v>201</v>
      </c>
      <c r="E9" s="13">
        <v>60</v>
      </c>
      <c r="G9" s="13">
        <v>38</v>
      </c>
      <c r="I9" s="13">
        <v>80</v>
      </c>
      <c r="K9" s="13">
        <v>136</v>
      </c>
      <c r="M9" s="13">
        <v>96</v>
      </c>
    </row>
    <row r="10" spans="1:13" ht="28">
      <c r="A10" s="13" t="s">
        <v>20</v>
      </c>
      <c r="B10" s="37" t="s">
        <v>746</v>
      </c>
      <c r="C10" s="13" t="s">
        <v>829</v>
      </c>
      <c r="E10" s="57">
        <v>10793</v>
      </c>
      <c r="G10" s="57">
        <v>9356</v>
      </c>
      <c r="I10" s="57">
        <v>6955</v>
      </c>
      <c r="K10" s="57">
        <v>8908</v>
      </c>
      <c r="M10" s="57">
        <v>10075</v>
      </c>
    </row>
    <row r="11" spans="1:13" ht="28">
      <c r="A11" s="13" t="s">
        <v>20</v>
      </c>
      <c r="B11" s="37" t="s">
        <v>746</v>
      </c>
      <c r="C11" s="13" t="s">
        <v>201</v>
      </c>
      <c r="E11" s="57">
        <v>5919</v>
      </c>
      <c r="G11" s="57">
        <v>5580</v>
      </c>
      <c r="I11" s="57">
        <v>3878</v>
      </c>
      <c r="K11" s="57">
        <v>3889</v>
      </c>
      <c r="M11" s="57">
        <v>5150</v>
      </c>
    </row>
    <row r="12" spans="1:13">
      <c r="A12" s="35"/>
      <c r="B12" s="59"/>
      <c r="C12" s="35"/>
      <c r="D12" s="35"/>
      <c r="E12" s="35"/>
      <c r="F12" s="35"/>
      <c r="G12" s="35"/>
      <c r="H12" s="35"/>
      <c r="I12" s="35"/>
      <c r="J12" s="35"/>
      <c r="K12" s="35"/>
      <c r="L12" s="35"/>
      <c r="M12" s="35"/>
    </row>
    <row r="15" spans="1:13">
      <c r="A15" s="46" t="str">
        <f>HYPERLINK("[UKMY 2023 PrintableV1.1 12_09_24.xlsx]Contents!A1","Return to contents page")</f>
        <v>Return to contents page</v>
      </c>
    </row>
    <row r="64" spans="5:5">
      <c r="E64" s="47"/>
    </row>
  </sheetData>
  <sortState xmlns:xlrd2="http://schemas.microsoft.com/office/spreadsheetml/2017/richdata2" ref="A8:M12">
    <sortCondition ref="A8:A12"/>
    <sortCondition ref="B8:B12"/>
  </sortState>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1075-1DC1-4C8B-A0B5-49FFAFA99C97}">
  <dimension ref="A1:M64"/>
  <sheetViews>
    <sheetView view="pageBreakPreview" zoomScaleNormal="100" zoomScaleSheetLayoutView="100" workbookViewId="0">
      <selection activeCell="B5" sqref="B5"/>
    </sheetView>
  </sheetViews>
  <sheetFormatPr defaultColWidth="9.1796875" defaultRowHeight="14"/>
  <cols>
    <col min="1" max="1" width="22" style="13" customWidth="1"/>
    <col min="2" max="2" width="26.26953125" style="13" bestFit="1" customWidth="1"/>
    <col min="3" max="3" width="15.26953125" style="13" bestFit="1" customWidth="1"/>
    <col min="4" max="4" width="3" style="13" bestFit="1" customWidth="1"/>
    <col min="5" max="5" width="10.1796875" style="13" bestFit="1" customWidth="1"/>
    <col min="6" max="6" width="3" style="13" bestFit="1" customWidth="1"/>
    <col min="7" max="7" width="10.1796875" style="13" bestFit="1" customWidth="1"/>
    <col min="8" max="8" width="3" style="13" bestFit="1" customWidth="1"/>
    <col min="9" max="9" width="10.1796875" style="13" bestFit="1" customWidth="1"/>
    <col min="10" max="10" width="3" style="13" bestFit="1" customWidth="1"/>
    <col min="11" max="11" width="10.1796875" style="13" bestFit="1" customWidth="1"/>
    <col min="12" max="12" width="3" style="13" bestFit="1" customWidth="1"/>
    <col min="13" max="13" width="10.1796875" style="13" bestFit="1" customWidth="1"/>
    <col min="14" max="16384" width="9.1796875" style="13"/>
  </cols>
  <sheetData>
    <row r="1" spans="1:13">
      <c r="A1" s="70" t="s">
        <v>391</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223</v>
      </c>
      <c r="B3" s="13" t="s">
        <v>394</v>
      </c>
      <c r="C3" s="13" t="s">
        <v>201</v>
      </c>
      <c r="E3" s="57">
        <v>8497100</v>
      </c>
      <c r="G3" s="57">
        <v>8464500</v>
      </c>
      <c r="I3" s="57">
        <v>8172900</v>
      </c>
      <c r="K3" s="57">
        <v>3628300</v>
      </c>
    </row>
    <row r="5" spans="1:13">
      <c r="A5" s="13" t="s">
        <v>19</v>
      </c>
      <c r="B5" s="13" t="s">
        <v>392</v>
      </c>
      <c r="C5" s="13" t="s">
        <v>829</v>
      </c>
      <c r="E5" s="57">
        <v>587059</v>
      </c>
      <c r="G5" s="57">
        <v>592978</v>
      </c>
      <c r="I5" s="57">
        <v>561136</v>
      </c>
      <c r="K5" s="57">
        <v>1002569</v>
      </c>
      <c r="M5" s="57">
        <v>814101</v>
      </c>
    </row>
    <row r="6" spans="1:13">
      <c r="A6" s="13" t="s">
        <v>19</v>
      </c>
      <c r="B6" s="13" t="s">
        <v>392</v>
      </c>
      <c r="C6" s="13" t="s">
        <v>201</v>
      </c>
      <c r="E6" s="57">
        <v>8898721</v>
      </c>
      <c r="G6" s="57">
        <v>7658408</v>
      </c>
      <c r="I6" s="57">
        <v>7061081</v>
      </c>
      <c r="K6" s="57">
        <v>8119399</v>
      </c>
      <c r="M6" s="57">
        <v>7283116</v>
      </c>
    </row>
    <row r="7" spans="1:13">
      <c r="A7" s="13" t="s">
        <v>19</v>
      </c>
      <c r="B7" s="13" t="s">
        <v>393</v>
      </c>
      <c r="C7" s="13" t="s">
        <v>201</v>
      </c>
      <c r="D7" s="13" t="s">
        <v>209</v>
      </c>
      <c r="E7" s="57">
        <v>5300000</v>
      </c>
      <c r="F7" s="13" t="s">
        <v>209</v>
      </c>
      <c r="G7" s="57">
        <v>4600000</v>
      </c>
      <c r="H7" s="13" t="s">
        <v>209</v>
      </c>
      <c r="I7" s="57">
        <v>4200000</v>
      </c>
      <c r="J7" s="13" t="s">
        <v>209</v>
      </c>
      <c r="K7" s="57">
        <v>4900000</v>
      </c>
      <c r="L7" s="13" t="s">
        <v>209</v>
      </c>
      <c r="M7" s="57">
        <v>4600000</v>
      </c>
    </row>
    <row r="9" spans="1:13">
      <c r="A9" s="13" t="s">
        <v>20</v>
      </c>
      <c r="B9" s="13" t="s">
        <v>392</v>
      </c>
      <c r="C9" s="13" t="s">
        <v>829</v>
      </c>
      <c r="E9" s="13">
        <v>819</v>
      </c>
      <c r="G9" s="13">
        <v>572</v>
      </c>
      <c r="I9" s="13">
        <v>452</v>
      </c>
      <c r="K9" s="13">
        <v>520</v>
      </c>
      <c r="M9" s="13">
        <v>628</v>
      </c>
    </row>
    <row r="10" spans="1:13">
      <c r="A10" s="13" t="s">
        <v>20</v>
      </c>
      <c r="B10" s="13" t="s">
        <v>392</v>
      </c>
      <c r="C10" s="13" t="s">
        <v>201</v>
      </c>
      <c r="E10" s="57">
        <v>2923</v>
      </c>
      <c r="G10" s="57">
        <v>1623</v>
      </c>
      <c r="I10" s="57">
        <v>1683</v>
      </c>
      <c r="K10" s="57">
        <v>1410</v>
      </c>
      <c r="M10" s="57">
        <v>2154</v>
      </c>
    </row>
    <row r="11" spans="1:13">
      <c r="A11" s="35"/>
      <c r="B11" s="35"/>
      <c r="C11" s="35"/>
      <c r="D11" s="35"/>
      <c r="E11" s="35"/>
      <c r="F11" s="35"/>
      <c r="G11" s="35"/>
      <c r="H11" s="35"/>
      <c r="I11" s="35"/>
      <c r="J11" s="35"/>
      <c r="K11" s="35"/>
      <c r="L11" s="35"/>
      <c r="M11" s="35"/>
    </row>
    <row r="13" spans="1:13">
      <c r="A13" s="13" t="s">
        <v>14</v>
      </c>
      <c r="B13" s="13" t="s">
        <v>15</v>
      </c>
    </row>
    <row r="14" spans="1:13">
      <c r="A14" s="13" t="s">
        <v>215</v>
      </c>
      <c r="B14" s="13" t="s">
        <v>150</v>
      </c>
    </row>
    <row r="17" spans="1:1">
      <c r="A17"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C32BA-6ACE-420D-948A-02FC4ED21610}">
  <dimension ref="A1:K51"/>
  <sheetViews>
    <sheetView view="pageBreakPreview" zoomScaleNormal="100" zoomScaleSheetLayoutView="100" workbookViewId="0"/>
  </sheetViews>
  <sheetFormatPr defaultColWidth="9.1796875" defaultRowHeight="12.5"/>
  <cols>
    <col min="1" max="1" width="29.26953125" style="16" customWidth="1"/>
    <col min="2" max="2" width="5" style="16" customWidth="1"/>
    <col min="3" max="3" width="9.453125" style="16" bestFit="1" customWidth="1"/>
    <col min="4" max="4" width="5" style="16" bestFit="1" customWidth="1"/>
    <col min="5" max="5" width="9.453125" style="16" bestFit="1" customWidth="1"/>
    <col min="6" max="6" width="5" style="16" bestFit="1" customWidth="1"/>
    <col min="7" max="7" width="9.453125" style="16" bestFit="1" customWidth="1"/>
    <col min="8" max="8" width="5" style="16" bestFit="1" customWidth="1"/>
    <col min="9" max="9" width="9.453125" style="16" bestFit="1" customWidth="1"/>
    <col min="10" max="10" width="6.81640625" style="16" customWidth="1"/>
    <col min="11" max="12" width="9.453125" style="16" bestFit="1" customWidth="1"/>
    <col min="13" max="13" width="10.453125" style="16" bestFit="1" customWidth="1"/>
    <col min="14" max="16384" width="9.1796875" style="16"/>
  </cols>
  <sheetData>
    <row r="1" spans="1:11" ht="15.5">
      <c r="A1" s="29" t="s">
        <v>816</v>
      </c>
      <c r="K1" s="22" t="s">
        <v>811</v>
      </c>
    </row>
    <row r="2" spans="1:11">
      <c r="A2" s="23" t="s">
        <v>673</v>
      </c>
      <c r="B2" s="23" t="s">
        <v>1</v>
      </c>
      <c r="C2" s="23">
        <v>2018</v>
      </c>
      <c r="D2" s="23" t="s">
        <v>1</v>
      </c>
      <c r="E2" s="23">
        <v>2019</v>
      </c>
      <c r="F2" s="23" t="s">
        <v>1</v>
      </c>
      <c r="G2" s="23">
        <v>2020</v>
      </c>
      <c r="H2" s="23" t="s">
        <v>1</v>
      </c>
      <c r="I2" s="23">
        <v>2021</v>
      </c>
      <c r="J2" s="23" t="s">
        <v>1</v>
      </c>
      <c r="K2" s="23">
        <v>2022</v>
      </c>
    </row>
    <row r="3" spans="1:11">
      <c r="A3" s="16" t="s">
        <v>320</v>
      </c>
      <c r="C3" s="39">
        <v>198</v>
      </c>
      <c r="D3" s="39"/>
      <c r="E3" s="39">
        <v>131.69999999999999</v>
      </c>
      <c r="F3" s="39"/>
      <c r="G3" s="39">
        <v>103.7</v>
      </c>
      <c r="H3" s="39"/>
      <c r="I3" s="39">
        <v>140</v>
      </c>
      <c r="J3" s="39"/>
      <c r="K3" s="39">
        <v>175</v>
      </c>
    </row>
    <row r="4" spans="1:11">
      <c r="A4" s="16" t="s">
        <v>39</v>
      </c>
      <c r="C4" s="39">
        <v>6900</v>
      </c>
      <c r="D4" s="39"/>
      <c r="E4" s="39">
        <v>5530</v>
      </c>
      <c r="F4" s="39"/>
      <c r="G4" s="39">
        <v>4875</v>
      </c>
      <c r="H4" s="39"/>
      <c r="I4" s="39">
        <v>7110</v>
      </c>
      <c r="J4" s="39"/>
      <c r="K4" s="39">
        <v>18125</v>
      </c>
    </row>
    <row r="5" spans="1:11">
      <c r="A5" s="16" t="s">
        <v>40</v>
      </c>
      <c r="B5" s="16" t="s">
        <v>41</v>
      </c>
      <c r="C5" s="39"/>
      <c r="D5" s="39" t="s">
        <v>41</v>
      </c>
      <c r="E5" s="39"/>
      <c r="F5" s="39" t="s">
        <v>41</v>
      </c>
      <c r="G5" s="39"/>
      <c r="H5" s="39" t="s">
        <v>41</v>
      </c>
      <c r="I5" s="39"/>
      <c r="J5" s="39" t="s">
        <v>41</v>
      </c>
      <c r="K5" s="39"/>
    </row>
    <row r="6" spans="1:11">
      <c r="A6" s="16" t="s">
        <v>813</v>
      </c>
      <c r="C6" s="39">
        <v>21285</v>
      </c>
      <c r="D6" s="39"/>
      <c r="E6" s="39">
        <v>21085</v>
      </c>
      <c r="F6" s="39"/>
      <c r="G6" s="39">
        <v>14140</v>
      </c>
      <c r="H6" s="39"/>
      <c r="I6" s="39">
        <v>15790</v>
      </c>
      <c r="J6" s="39"/>
      <c r="K6" s="39">
        <v>23805</v>
      </c>
    </row>
    <row r="7" spans="1:11">
      <c r="C7" s="39"/>
      <c r="D7" s="39"/>
      <c r="E7" s="39"/>
      <c r="F7" s="39"/>
      <c r="G7" s="39"/>
      <c r="H7" s="39"/>
      <c r="I7" s="39"/>
      <c r="J7" s="39"/>
      <c r="K7" s="39"/>
    </row>
    <row r="8" spans="1:11">
      <c r="A8" s="16" t="s">
        <v>43</v>
      </c>
      <c r="C8" s="39">
        <v>4</v>
      </c>
      <c r="D8" s="39"/>
      <c r="E8" s="39"/>
      <c r="F8" s="39"/>
      <c r="G8" s="39"/>
      <c r="H8" s="39"/>
      <c r="I8" s="39"/>
      <c r="J8" s="39"/>
      <c r="K8" s="39"/>
    </row>
    <row r="9" spans="1:11">
      <c r="A9" s="16" t="s">
        <v>44</v>
      </c>
      <c r="C9" s="39">
        <v>28</v>
      </c>
      <c r="D9" s="39"/>
      <c r="E9" s="39"/>
      <c r="F9" s="39"/>
      <c r="G9" s="39"/>
      <c r="H9" s="39"/>
      <c r="I9" s="39"/>
      <c r="J9" s="39"/>
      <c r="K9" s="39"/>
    </row>
    <row r="10" spans="1:11">
      <c r="A10" s="16" t="s">
        <v>45</v>
      </c>
      <c r="C10" s="39"/>
      <c r="D10" s="39"/>
      <c r="E10" s="39">
        <v>0.1</v>
      </c>
      <c r="F10" s="39"/>
      <c r="G10" s="39">
        <v>0.1</v>
      </c>
      <c r="H10" s="39"/>
      <c r="I10" s="39">
        <v>0.2</v>
      </c>
      <c r="J10" s="39"/>
      <c r="K10" s="39">
        <v>0.7</v>
      </c>
    </row>
    <row r="11" spans="1:11">
      <c r="A11" s="16" t="s">
        <v>46</v>
      </c>
      <c r="C11" s="39"/>
      <c r="D11" s="39"/>
      <c r="E11" s="39">
        <v>1.8</v>
      </c>
      <c r="F11" s="39"/>
      <c r="G11" s="39">
        <v>1.2</v>
      </c>
      <c r="H11" s="39"/>
      <c r="I11" s="39">
        <v>3.4</v>
      </c>
      <c r="J11" s="39"/>
      <c r="K11" s="39">
        <v>15.4</v>
      </c>
    </row>
    <row r="12" spans="1:11">
      <c r="A12" s="16" t="s">
        <v>47</v>
      </c>
      <c r="C12" s="39">
        <v>0</v>
      </c>
      <c r="D12" s="39"/>
      <c r="E12" s="39">
        <v>0.2</v>
      </c>
      <c r="F12" s="39"/>
      <c r="G12" s="39">
        <v>0.1</v>
      </c>
      <c r="H12" s="39"/>
      <c r="I12" s="39">
        <v>0.1</v>
      </c>
      <c r="J12" s="39"/>
      <c r="K12" s="39">
        <v>0.2</v>
      </c>
    </row>
    <row r="13" spans="1:11">
      <c r="C13" s="39"/>
      <c r="D13" s="39"/>
      <c r="E13" s="39"/>
      <c r="F13" s="39"/>
      <c r="G13" s="39"/>
      <c r="H13" s="39"/>
      <c r="I13" s="39"/>
      <c r="J13" s="39"/>
      <c r="K13" s="39"/>
    </row>
    <row r="14" spans="1:11">
      <c r="A14" s="16" t="s">
        <v>48</v>
      </c>
      <c r="C14" s="39">
        <v>907</v>
      </c>
      <c r="D14" s="39"/>
      <c r="E14" s="39">
        <v>937</v>
      </c>
      <c r="F14" s="39"/>
      <c r="G14" s="39">
        <v>753.6</v>
      </c>
      <c r="H14" s="39"/>
      <c r="I14" s="39">
        <v>866</v>
      </c>
      <c r="J14" s="39"/>
      <c r="K14" s="39">
        <v>859</v>
      </c>
    </row>
    <row r="15" spans="1:11">
      <c r="A15" s="16" t="s">
        <v>49</v>
      </c>
      <c r="C15" s="39"/>
      <c r="D15" s="39"/>
      <c r="E15" s="39"/>
      <c r="F15" s="39"/>
      <c r="G15" s="39"/>
      <c r="H15" s="39"/>
      <c r="I15" s="39"/>
      <c r="J15" s="39"/>
      <c r="K15" s="39"/>
    </row>
    <row r="16" spans="1:11">
      <c r="A16" s="15" t="s">
        <v>710</v>
      </c>
      <c r="C16" s="39"/>
      <c r="D16" s="39"/>
      <c r="E16" s="39"/>
      <c r="F16" s="39"/>
      <c r="G16" s="39"/>
      <c r="H16" s="39"/>
      <c r="I16" s="39"/>
      <c r="J16" s="39"/>
      <c r="K16" s="39"/>
    </row>
    <row r="17" spans="1:11">
      <c r="A17" s="16" t="s">
        <v>50</v>
      </c>
      <c r="C17" s="39"/>
      <c r="D17" s="39"/>
      <c r="E17" s="39"/>
      <c r="F17" s="39"/>
      <c r="G17" s="39"/>
      <c r="H17" s="39"/>
      <c r="I17" s="39"/>
      <c r="J17" s="39"/>
      <c r="K17" s="39"/>
    </row>
    <row r="18" spans="1:11">
      <c r="A18" s="16" t="s">
        <v>51</v>
      </c>
      <c r="C18" s="39"/>
      <c r="D18" s="39"/>
      <c r="E18" s="39"/>
      <c r="F18" s="39"/>
      <c r="G18" s="39"/>
      <c r="H18" s="39"/>
      <c r="I18" s="39"/>
      <c r="J18" s="39"/>
      <c r="K18" s="39"/>
    </row>
    <row r="19" spans="1:11">
      <c r="A19" s="16" t="s">
        <v>52</v>
      </c>
      <c r="B19" s="16" t="s">
        <v>53</v>
      </c>
      <c r="C19" s="39">
        <v>1587</v>
      </c>
      <c r="D19" s="39" t="s">
        <v>53</v>
      </c>
      <c r="E19" s="39">
        <v>1592</v>
      </c>
      <c r="F19" s="39" t="s">
        <v>53</v>
      </c>
      <c r="G19" s="39">
        <v>1443</v>
      </c>
      <c r="H19" s="39" t="s">
        <v>53</v>
      </c>
      <c r="I19" s="39">
        <v>1759</v>
      </c>
      <c r="J19" s="39" t="s">
        <v>53</v>
      </c>
      <c r="K19" s="39">
        <v>1917</v>
      </c>
    </row>
    <row r="20" spans="1:11">
      <c r="C20" s="39"/>
      <c r="D20" s="39"/>
      <c r="E20" s="39"/>
      <c r="F20" s="39"/>
      <c r="G20" s="39"/>
      <c r="H20" s="39"/>
      <c r="I20" s="39"/>
      <c r="J20" s="39"/>
      <c r="K20" s="39"/>
    </row>
    <row r="21" spans="1:11">
      <c r="A21" s="16" t="s">
        <v>54</v>
      </c>
      <c r="C21" s="39">
        <v>23</v>
      </c>
      <c r="D21" s="39"/>
      <c r="E21" s="39">
        <v>22.6</v>
      </c>
      <c r="F21" s="39"/>
      <c r="G21" s="39">
        <v>14.8</v>
      </c>
      <c r="H21" s="39"/>
      <c r="I21" s="39">
        <v>20</v>
      </c>
      <c r="J21" s="39"/>
      <c r="K21" s="39">
        <v>20</v>
      </c>
    </row>
    <row r="22" spans="1:11">
      <c r="A22" s="16" t="s">
        <v>55</v>
      </c>
      <c r="C22" s="39">
        <v>128</v>
      </c>
      <c r="D22" s="39"/>
      <c r="E22" s="39">
        <v>142</v>
      </c>
      <c r="F22" s="39"/>
      <c r="G22" s="39">
        <v>96.5</v>
      </c>
      <c r="H22" s="39"/>
      <c r="I22" s="39">
        <v>127</v>
      </c>
      <c r="J22" s="39"/>
      <c r="K22" s="39">
        <v>131</v>
      </c>
    </row>
    <row r="23" spans="1:11">
      <c r="A23" s="16" t="s">
        <v>56</v>
      </c>
      <c r="C23" s="39">
        <v>63</v>
      </c>
      <c r="D23" s="39"/>
      <c r="E23" s="39">
        <v>52</v>
      </c>
      <c r="F23" s="39"/>
      <c r="G23" s="39">
        <v>48</v>
      </c>
      <c r="H23" s="39"/>
      <c r="I23" s="39">
        <v>61</v>
      </c>
      <c r="J23" s="39"/>
      <c r="K23" s="39">
        <v>82</v>
      </c>
    </row>
    <row r="24" spans="1:11">
      <c r="C24" s="39"/>
      <c r="D24" s="39"/>
      <c r="E24" s="39"/>
      <c r="F24" s="39"/>
      <c r="G24" s="39"/>
      <c r="H24" s="39"/>
      <c r="I24" s="39"/>
      <c r="J24" s="39"/>
      <c r="K24" s="39"/>
    </row>
    <row r="25" spans="1:11">
      <c r="A25" s="16" t="s">
        <v>57</v>
      </c>
      <c r="C25" s="39">
        <v>109</v>
      </c>
      <c r="D25" s="39"/>
      <c r="E25" s="39">
        <v>92</v>
      </c>
      <c r="F25" s="39"/>
      <c r="G25" s="39">
        <v>90.5</v>
      </c>
      <c r="H25" s="39"/>
      <c r="I25" s="39">
        <v>111</v>
      </c>
      <c r="J25" s="39"/>
      <c r="K25" s="39">
        <v>108</v>
      </c>
    </row>
    <row r="26" spans="1:11">
      <c r="A26" s="16" t="s">
        <v>58</v>
      </c>
      <c r="C26" s="39">
        <v>88</v>
      </c>
      <c r="D26" s="39"/>
      <c r="E26" s="39">
        <v>90.4</v>
      </c>
      <c r="F26" s="39"/>
      <c r="G26" s="39">
        <v>95.9</v>
      </c>
      <c r="H26" s="39"/>
      <c r="I26" s="39">
        <v>92</v>
      </c>
      <c r="J26" s="39"/>
      <c r="K26" s="39">
        <v>104</v>
      </c>
    </row>
    <row r="27" spans="1:11">
      <c r="A27" s="16" t="s">
        <v>59</v>
      </c>
      <c r="C27" s="39">
        <v>46</v>
      </c>
      <c r="D27" s="39"/>
      <c r="E27" s="39">
        <v>0</v>
      </c>
      <c r="F27" s="39"/>
      <c r="G27" s="39">
        <v>0</v>
      </c>
      <c r="H27" s="39"/>
      <c r="I27" s="39">
        <v>0</v>
      </c>
      <c r="J27" s="39"/>
      <c r="K27" s="39">
        <v>0</v>
      </c>
    </row>
    <row r="28" spans="1:11">
      <c r="A28" s="16" t="s">
        <v>60</v>
      </c>
      <c r="C28" s="39">
        <v>50</v>
      </c>
      <c r="D28" s="39"/>
      <c r="E28" s="39">
        <v>127</v>
      </c>
      <c r="F28" s="39"/>
      <c r="G28" s="39">
        <v>141.80000000000001</v>
      </c>
      <c r="H28" s="39"/>
      <c r="I28" s="39">
        <v>71</v>
      </c>
      <c r="J28" s="39"/>
      <c r="K28" s="39">
        <v>133</v>
      </c>
    </row>
    <row r="29" spans="1:11">
      <c r="A29" s="16" t="s">
        <v>61</v>
      </c>
      <c r="C29" s="39">
        <v>2</v>
      </c>
      <c r="D29" s="39"/>
      <c r="E29" s="39">
        <v>4.3</v>
      </c>
      <c r="F29" s="39"/>
      <c r="G29" s="39">
        <v>4.2</v>
      </c>
      <c r="H29" s="39"/>
      <c r="I29" s="39">
        <v>7</v>
      </c>
      <c r="J29" s="39"/>
      <c r="K29" s="39">
        <v>6</v>
      </c>
    </row>
    <row r="30" spans="1:11">
      <c r="A30" s="16" t="s">
        <v>62</v>
      </c>
      <c r="C30" s="39">
        <v>20</v>
      </c>
      <c r="D30" s="39"/>
      <c r="E30" s="39">
        <v>22.4</v>
      </c>
      <c r="F30" s="39"/>
      <c r="G30" s="39">
        <v>22.1</v>
      </c>
      <c r="H30" s="39"/>
      <c r="I30" s="39">
        <v>46</v>
      </c>
      <c r="J30" s="39"/>
      <c r="K30" s="39">
        <v>86</v>
      </c>
    </row>
    <row r="31" spans="1:11">
      <c r="C31" s="39"/>
      <c r="D31" s="39"/>
      <c r="E31" s="39"/>
      <c r="F31" s="39"/>
      <c r="G31" s="39"/>
      <c r="H31" s="39"/>
      <c r="I31" s="39"/>
      <c r="J31" s="39"/>
      <c r="K31" s="39"/>
    </row>
    <row r="32" spans="1:11">
      <c r="A32" s="16" t="s">
        <v>63</v>
      </c>
      <c r="C32" s="39">
        <v>41</v>
      </c>
      <c r="D32" s="39"/>
      <c r="E32" s="39">
        <v>28.6</v>
      </c>
      <c r="F32" s="39"/>
      <c r="G32" s="39">
        <v>27.8</v>
      </c>
      <c r="H32" s="39"/>
      <c r="I32" s="39">
        <v>24</v>
      </c>
      <c r="J32" s="39"/>
      <c r="K32" s="39">
        <v>29</v>
      </c>
    </row>
    <row r="33" spans="1:11">
      <c r="C33" s="39"/>
      <c r="D33" s="39"/>
      <c r="E33" s="39"/>
      <c r="F33" s="39"/>
      <c r="G33" s="39"/>
      <c r="H33" s="39"/>
      <c r="I33" s="39"/>
      <c r="J33" s="39"/>
      <c r="K33" s="39"/>
    </row>
    <row r="34" spans="1:11" ht="13">
      <c r="A34" s="21" t="s">
        <v>674</v>
      </c>
      <c r="B34" s="21"/>
      <c r="C34" s="40">
        <v>31479</v>
      </c>
      <c r="D34" s="40"/>
      <c r="E34" s="40">
        <v>29859.200000000001</v>
      </c>
      <c r="F34" s="40"/>
      <c r="G34" s="40">
        <v>21858.400000000001</v>
      </c>
      <c r="H34" s="40"/>
      <c r="I34" s="40">
        <v>26227.7</v>
      </c>
      <c r="J34" s="40"/>
      <c r="K34" s="40">
        <v>45596.3</v>
      </c>
    </row>
    <row r="35" spans="1:11">
      <c r="C35" s="39"/>
      <c r="D35" s="39"/>
      <c r="E35" s="39"/>
      <c r="F35" s="39"/>
      <c r="G35" s="39"/>
      <c r="H35" s="39"/>
      <c r="I35" s="39"/>
      <c r="J35" s="39"/>
      <c r="K35" s="39"/>
    </row>
    <row r="36" spans="1:11">
      <c r="A36" s="16" t="s">
        <v>64</v>
      </c>
      <c r="C36" s="39">
        <v>198</v>
      </c>
      <c r="D36" s="39"/>
      <c r="E36" s="39">
        <v>131.69999999999999</v>
      </c>
      <c r="F36" s="39"/>
      <c r="G36" s="39">
        <v>103.7</v>
      </c>
      <c r="H36" s="39"/>
      <c r="I36" s="39">
        <v>140</v>
      </c>
      <c r="J36" s="39"/>
      <c r="K36" s="39">
        <v>175</v>
      </c>
    </row>
    <row r="37" spans="1:11">
      <c r="A37" s="16" t="s">
        <v>65</v>
      </c>
      <c r="C37" s="39">
        <v>28185</v>
      </c>
      <c r="D37" s="39"/>
      <c r="E37" s="39">
        <v>26615</v>
      </c>
      <c r="F37" s="39"/>
      <c r="G37" s="39">
        <v>19015</v>
      </c>
      <c r="H37" s="39"/>
      <c r="I37" s="39">
        <v>22900</v>
      </c>
      <c r="J37" s="39"/>
      <c r="K37" s="39">
        <v>41930</v>
      </c>
    </row>
    <row r="38" spans="1:11">
      <c r="A38" s="16" t="s">
        <v>66</v>
      </c>
      <c r="C38" s="39">
        <v>32</v>
      </c>
      <c r="D38" s="39"/>
      <c r="E38" s="39">
        <v>2.1</v>
      </c>
      <c r="F38" s="39"/>
      <c r="G38" s="39">
        <v>1.4</v>
      </c>
      <c r="H38" s="39"/>
      <c r="I38" s="39">
        <v>3.7</v>
      </c>
      <c r="J38" s="39"/>
      <c r="K38" s="39">
        <v>16.3</v>
      </c>
    </row>
    <row r="39" spans="1:11" ht="25">
      <c r="A39" s="15" t="s">
        <v>67</v>
      </c>
      <c r="C39" s="39">
        <v>3064</v>
      </c>
      <c r="D39" s="39"/>
      <c r="E39" s="39">
        <v>3110.4</v>
      </c>
      <c r="F39" s="39"/>
      <c r="G39" s="39">
        <v>2738.3</v>
      </c>
      <c r="H39" s="39"/>
      <c r="I39" s="39">
        <v>3184</v>
      </c>
      <c r="J39" s="39"/>
      <c r="K39" s="39">
        <v>3475</v>
      </c>
    </row>
    <row r="40" spans="1:11" ht="13">
      <c r="A40" s="21" t="s">
        <v>68</v>
      </c>
      <c r="B40" s="21"/>
      <c r="C40" s="40">
        <v>31479</v>
      </c>
      <c r="D40" s="40"/>
      <c r="E40" s="40">
        <v>29859.200000000001</v>
      </c>
      <c r="F40" s="40"/>
      <c r="G40" s="40">
        <v>21858.400000000001</v>
      </c>
      <c r="H40" s="40"/>
      <c r="I40" s="40">
        <v>26227.7</v>
      </c>
      <c r="J40" s="40"/>
      <c r="K40" s="40">
        <v>45596.3</v>
      </c>
    </row>
    <row r="41" spans="1:11">
      <c r="A41" s="26"/>
      <c r="B41" s="26"/>
      <c r="C41" s="26"/>
      <c r="D41" s="26"/>
      <c r="E41" s="26"/>
      <c r="F41" s="26"/>
      <c r="G41" s="26"/>
      <c r="H41" s="26"/>
      <c r="I41" s="26"/>
      <c r="J41" s="26"/>
      <c r="K41" s="26"/>
    </row>
    <row r="43" spans="1:11">
      <c r="A43" s="16" t="s">
        <v>14</v>
      </c>
      <c r="B43" s="16" t="s">
        <v>15</v>
      </c>
    </row>
    <row r="44" spans="1:11">
      <c r="A44" s="16" t="s">
        <v>69</v>
      </c>
      <c r="B44" s="16" t="s">
        <v>70</v>
      </c>
    </row>
    <row r="45" spans="1:11">
      <c r="A45" s="16" t="s">
        <v>71</v>
      </c>
      <c r="B45" s="16" t="s">
        <v>72</v>
      </c>
    </row>
    <row r="47" spans="1:11">
      <c r="A47" s="102" t="s">
        <v>73</v>
      </c>
      <c r="B47" s="102"/>
      <c r="C47" s="102"/>
      <c r="D47" s="102"/>
      <c r="E47" s="102"/>
      <c r="F47" s="102"/>
      <c r="G47" s="102"/>
      <c r="H47" s="102"/>
      <c r="I47" s="102"/>
      <c r="J47" s="102"/>
    </row>
    <row r="48" spans="1:11">
      <c r="A48" s="102" t="s">
        <v>74</v>
      </c>
      <c r="B48" s="102"/>
      <c r="C48" s="102"/>
      <c r="D48" s="102"/>
      <c r="E48" s="102"/>
      <c r="F48" s="102"/>
      <c r="G48" s="102"/>
      <c r="H48" s="102"/>
      <c r="I48" s="102"/>
      <c r="J48" s="102"/>
    </row>
    <row r="51" spans="1:1">
      <c r="A51" s="28" t="str">
        <f>HYPERLINK("[UKMY 2023 PrintableV1.1 12_09_24.xlsx]Contents!A1","Return to contents page")</f>
        <v>Return to contents page</v>
      </c>
    </row>
  </sheetData>
  <mergeCells count="2">
    <mergeCell ref="A47:J47"/>
    <mergeCell ref="A48:J48"/>
  </mergeCell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539B8-C115-4978-A1FF-2DF547113354}">
  <dimension ref="A1:M64"/>
  <sheetViews>
    <sheetView view="pageBreakPreview" zoomScaleNormal="100" zoomScaleSheetLayoutView="100" workbookViewId="0">
      <selection activeCell="F37" sqref="F37"/>
    </sheetView>
  </sheetViews>
  <sheetFormatPr defaultRowHeight="14.5"/>
  <cols>
    <col min="1" max="1" width="14.453125" customWidth="1"/>
    <col min="2" max="2" width="38.7265625" style="2" customWidth="1"/>
    <col min="3" max="3" width="14.54296875" bestFit="1" customWidth="1"/>
    <col min="4" max="4" width="3.453125" bestFit="1" customWidth="1"/>
    <col min="5" max="5" width="8.81640625" bestFit="1" customWidth="1"/>
    <col min="6" max="6" width="3.453125" bestFit="1" customWidth="1"/>
    <col min="7" max="7" width="8.81640625" bestFit="1" customWidth="1"/>
    <col min="8" max="8" width="3.453125" bestFit="1" customWidth="1"/>
    <col min="9" max="9" width="8.81640625" bestFit="1" customWidth="1"/>
    <col min="10" max="10" width="3.453125" bestFit="1" customWidth="1"/>
    <col min="11" max="11" width="9.81640625" bestFit="1" customWidth="1"/>
    <col min="12" max="12" width="3.453125" bestFit="1" customWidth="1"/>
    <col min="13" max="13" width="8.81640625" bestFit="1" customWidth="1"/>
  </cols>
  <sheetData>
    <row r="1" spans="1:13" ht="16.5">
      <c r="A1" s="12" t="s">
        <v>395</v>
      </c>
    </row>
    <row r="2" spans="1:13">
      <c r="A2" s="6" t="s">
        <v>670</v>
      </c>
      <c r="B2" s="7" t="s">
        <v>0</v>
      </c>
      <c r="C2" s="6" t="s">
        <v>669</v>
      </c>
      <c r="D2" s="6" t="s">
        <v>1</v>
      </c>
      <c r="E2" s="6">
        <v>2018</v>
      </c>
      <c r="F2" s="6" t="s">
        <v>1</v>
      </c>
      <c r="G2" s="6">
        <v>2019</v>
      </c>
      <c r="H2" s="6" t="s">
        <v>1</v>
      </c>
      <c r="I2" s="6">
        <v>2020</v>
      </c>
      <c r="J2" s="6" t="s">
        <v>1</v>
      </c>
      <c r="K2" s="6">
        <v>2021</v>
      </c>
      <c r="L2" s="6" t="s">
        <v>1</v>
      </c>
      <c r="M2" s="6">
        <v>2022</v>
      </c>
    </row>
    <row r="3" spans="1:13">
      <c r="A3" t="s">
        <v>38</v>
      </c>
      <c r="B3" s="2" t="s">
        <v>761</v>
      </c>
      <c r="C3" t="s">
        <v>201</v>
      </c>
      <c r="E3" s="3">
        <v>454200</v>
      </c>
      <c r="G3" s="3">
        <v>345100</v>
      </c>
      <c r="I3" s="3">
        <v>245500</v>
      </c>
      <c r="K3" s="3">
        <v>311100</v>
      </c>
      <c r="M3" s="3">
        <v>280400</v>
      </c>
    </row>
    <row r="4" spans="1:13">
      <c r="A4" t="s">
        <v>38</v>
      </c>
      <c r="B4" s="2" t="s">
        <v>762</v>
      </c>
      <c r="C4" t="s">
        <v>201</v>
      </c>
      <c r="E4" s="3">
        <v>6813500</v>
      </c>
      <c r="G4" s="3">
        <v>6873000</v>
      </c>
      <c r="I4" s="3">
        <v>6840200</v>
      </c>
      <c r="K4" s="3">
        <v>6910500</v>
      </c>
      <c r="M4" s="3">
        <v>5682400</v>
      </c>
    </row>
    <row r="5" spans="1:13">
      <c r="A5" t="s">
        <v>38</v>
      </c>
      <c r="B5" s="2" t="s">
        <v>401</v>
      </c>
      <c r="C5" t="s">
        <v>201</v>
      </c>
      <c r="D5" t="s">
        <v>205</v>
      </c>
      <c r="E5" s="3">
        <v>5587900</v>
      </c>
      <c r="F5" t="s">
        <v>205</v>
      </c>
      <c r="G5" s="3">
        <v>5621700</v>
      </c>
      <c r="H5" t="s">
        <v>205</v>
      </c>
      <c r="I5" s="3">
        <v>5235500</v>
      </c>
      <c r="J5" t="s">
        <v>205</v>
      </c>
      <c r="K5" s="3">
        <v>5749600</v>
      </c>
      <c r="L5" t="s">
        <v>205</v>
      </c>
      <c r="M5" s="3">
        <v>4779400</v>
      </c>
    </row>
    <row r="6" spans="1:13">
      <c r="A6" t="s">
        <v>38</v>
      </c>
      <c r="B6" s="2" t="s">
        <v>402</v>
      </c>
      <c r="C6" t="s">
        <v>201</v>
      </c>
      <c r="E6" s="3">
        <v>7267700</v>
      </c>
      <c r="G6" s="3">
        <v>7218100</v>
      </c>
      <c r="I6" s="3">
        <v>7085700</v>
      </c>
      <c r="K6" s="3">
        <v>7221600</v>
      </c>
      <c r="M6" s="3">
        <v>5962800</v>
      </c>
    </row>
    <row r="8" spans="1:13">
      <c r="A8" t="s">
        <v>223</v>
      </c>
      <c r="B8" s="2" t="s">
        <v>719</v>
      </c>
      <c r="C8" t="s">
        <v>201</v>
      </c>
      <c r="D8" t="s">
        <v>209</v>
      </c>
      <c r="E8" s="3">
        <v>9912000</v>
      </c>
      <c r="F8" t="s">
        <v>209</v>
      </c>
      <c r="G8" s="3">
        <v>9355000</v>
      </c>
      <c r="H8" t="s">
        <v>209</v>
      </c>
      <c r="I8" s="3">
        <v>6997000</v>
      </c>
      <c r="J8" t="s">
        <v>209</v>
      </c>
      <c r="K8" s="3">
        <v>10544000</v>
      </c>
      <c r="L8" t="s">
        <v>209</v>
      </c>
      <c r="M8" s="3">
        <v>8427000</v>
      </c>
    </row>
    <row r="9" spans="1:13">
      <c r="A9" t="s">
        <v>223</v>
      </c>
      <c r="B9" s="2" t="s">
        <v>400</v>
      </c>
      <c r="C9" t="s">
        <v>201</v>
      </c>
      <c r="E9" s="3">
        <v>2788500</v>
      </c>
      <c r="G9" s="3">
        <v>2685700</v>
      </c>
      <c r="I9" s="3">
        <v>2665100</v>
      </c>
      <c r="K9" s="3"/>
      <c r="M9" s="3"/>
    </row>
    <row r="10" spans="1:13">
      <c r="A10" t="s">
        <v>223</v>
      </c>
      <c r="B10" s="2" t="s">
        <v>401</v>
      </c>
      <c r="C10" t="s">
        <v>201</v>
      </c>
      <c r="D10" t="s">
        <v>205</v>
      </c>
      <c r="E10" s="3">
        <v>5613000</v>
      </c>
      <c r="F10" t="s">
        <v>205</v>
      </c>
      <c r="G10" s="3">
        <v>5618000</v>
      </c>
      <c r="H10" t="s">
        <v>205</v>
      </c>
      <c r="I10" s="3">
        <v>5508000</v>
      </c>
      <c r="J10" t="s">
        <v>205</v>
      </c>
      <c r="K10" s="3">
        <v>5267000</v>
      </c>
      <c r="L10" t="s">
        <v>205</v>
      </c>
      <c r="M10" s="3">
        <v>4645000</v>
      </c>
    </row>
    <row r="11" spans="1:13">
      <c r="E11" s="3"/>
      <c r="G11" s="3"/>
      <c r="I11" s="3"/>
      <c r="K11" s="3"/>
      <c r="M11" s="3"/>
    </row>
    <row r="12" spans="1:13">
      <c r="A12" t="s">
        <v>19</v>
      </c>
      <c r="B12" s="2" t="s">
        <v>396</v>
      </c>
      <c r="C12" t="s">
        <v>829</v>
      </c>
      <c r="E12" s="3">
        <v>40618</v>
      </c>
      <c r="G12" s="3">
        <v>45928</v>
      </c>
      <c r="I12" s="3">
        <v>32768</v>
      </c>
      <c r="K12" s="3">
        <v>41468</v>
      </c>
      <c r="M12" s="3">
        <v>56470</v>
      </c>
    </row>
    <row r="13" spans="1:13">
      <c r="A13" t="s">
        <v>19</v>
      </c>
      <c r="B13" s="2" t="s">
        <v>396</v>
      </c>
      <c r="C13" t="s">
        <v>201</v>
      </c>
      <c r="E13" s="3">
        <v>22664</v>
      </c>
      <c r="G13" s="3">
        <v>24092</v>
      </c>
      <c r="I13" s="3">
        <v>19677</v>
      </c>
      <c r="K13" s="3">
        <v>21700</v>
      </c>
      <c r="M13" s="3">
        <v>25884</v>
      </c>
    </row>
    <row r="14" spans="1:13">
      <c r="A14" t="s">
        <v>19</v>
      </c>
      <c r="B14" s="2" t="s">
        <v>397</v>
      </c>
      <c r="C14" t="s">
        <v>829</v>
      </c>
      <c r="E14" s="3">
        <v>246329</v>
      </c>
      <c r="G14" s="3">
        <v>196933</v>
      </c>
      <c r="I14" s="3">
        <v>147950</v>
      </c>
      <c r="K14" s="3">
        <v>232644</v>
      </c>
      <c r="M14" s="3">
        <v>357875</v>
      </c>
    </row>
    <row r="15" spans="1:13">
      <c r="A15" t="s">
        <v>19</v>
      </c>
      <c r="B15" s="2" t="s">
        <v>397</v>
      </c>
      <c r="C15" t="s">
        <v>201</v>
      </c>
      <c r="E15" s="3">
        <v>181157</v>
      </c>
      <c r="G15" s="3">
        <v>159385</v>
      </c>
      <c r="I15" s="3">
        <v>134647</v>
      </c>
      <c r="K15" s="3">
        <v>153366</v>
      </c>
      <c r="M15" s="3">
        <v>157401</v>
      </c>
    </row>
    <row r="16" spans="1:13" ht="29">
      <c r="A16" t="s">
        <v>19</v>
      </c>
      <c r="B16" s="2" t="s">
        <v>398</v>
      </c>
      <c r="C16" t="s">
        <v>829</v>
      </c>
      <c r="E16" s="3">
        <v>410305</v>
      </c>
      <c r="G16" s="3">
        <v>329885</v>
      </c>
      <c r="I16" s="3">
        <v>187365</v>
      </c>
      <c r="K16" s="3">
        <v>285728</v>
      </c>
      <c r="M16" s="3">
        <v>212899</v>
      </c>
    </row>
    <row r="17" spans="1:13" ht="29">
      <c r="A17" t="s">
        <v>19</v>
      </c>
      <c r="B17" s="2" t="s">
        <v>398</v>
      </c>
      <c r="C17" t="s">
        <v>201</v>
      </c>
      <c r="E17" s="3">
        <v>725999</v>
      </c>
      <c r="G17" s="3">
        <v>574167</v>
      </c>
      <c r="I17" s="3">
        <v>348038</v>
      </c>
      <c r="K17" s="3">
        <v>425116</v>
      </c>
      <c r="M17" s="3">
        <v>173009</v>
      </c>
    </row>
    <row r="18" spans="1:13">
      <c r="A18" t="s">
        <v>19</v>
      </c>
      <c r="B18" s="2" t="s">
        <v>399</v>
      </c>
      <c r="C18" t="s">
        <v>829</v>
      </c>
      <c r="E18" s="3">
        <v>12353</v>
      </c>
      <c r="G18" s="3">
        <v>14214</v>
      </c>
      <c r="I18" s="3">
        <v>6242</v>
      </c>
      <c r="K18" s="3">
        <v>8285</v>
      </c>
      <c r="M18" s="3">
        <v>16079</v>
      </c>
    </row>
    <row r="19" spans="1:13">
      <c r="A19" t="s">
        <v>19</v>
      </c>
      <c r="B19" s="2" t="s">
        <v>399</v>
      </c>
      <c r="C19" t="s">
        <v>201</v>
      </c>
      <c r="E19" s="3">
        <v>37901</v>
      </c>
      <c r="G19" s="3">
        <v>43079</v>
      </c>
      <c r="I19" s="3">
        <v>21592</v>
      </c>
      <c r="K19" s="3">
        <v>18495</v>
      </c>
      <c r="M19" s="3">
        <v>24748</v>
      </c>
    </row>
    <row r="20" spans="1:13">
      <c r="A20" t="s">
        <v>19</v>
      </c>
      <c r="B20" s="2" t="s">
        <v>400</v>
      </c>
      <c r="C20" t="s">
        <v>829</v>
      </c>
      <c r="E20" s="3">
        <v>144746</v>
      </c>
      <c r="G20" s="3">
        <v>80363</v>
      </c>
      <c r="I20" s="3">
        <v>64544</v>
      </c>
      <c r="K20" s="3">
        <v>109899</v>
      </c>
      <c r="M20" s="3">
        <v>92692</v>
      </c>
    </row>
    <row r="21" spans="1:13">
      <c r="A21" t="s">
        <v>19</v>
      </c>
      <c r="B21" s="2" t="s">
        <v>400</v>
      </c>
      <c r="C21" t="s">
        <v>201</v>
      </c>
      <c r="E21" s="3">
        <v>366533</v>
      </c>
      <c r="G21" s="3">
        <v>268277</v>
      </c>
      <c r="I21" s="3">
        <v>363325</v>
      </c>
      <c r="K21" s="3">
        <v>346298</v>
      </c>
      <c r="M21" s="3">
        <v>236610</v>
      </c>
    </row>
    <row r="23" spans="1:13">
      <c r="A23" t="s">
        <v>20</v>
      </c>
      <c r="B23" s="2" t="s">
        <v>396</v>
      </c>
      <c r="C23" t="s">
        <v>829</v>
      </c>
      <c r="E23" s="3">
        <v>65374</v>
      </c>
      <c r="G23" s="3">
        <v>69262</v>
      </c>
      <c r="I23" s="3">
        <v>58643</v>
      </c>
      <c r="K23" s="3">
        <v>59807</v>
      </c>
      <c r="M23" s="3">
        <v>72023</v>
      </c>
    </row>
    <row r="24" spans="1:13">
      <c r="A24" t="s">
        <v>20</v>
      </c>
      <c r="B24" s="2" t="s">
        <v>396</v>
      </c>
      <c r="C24" t="s">
        <v>201</v>
      </c>
      <c r="E24" s="3">
        <v>36124</v>
      </c>
      <c r="G24" s="3">
        <v>42604</v>
      </c>
      <c r="I24" s="3">
        <v>30514</v>
      </c>
      <c r="K24" s="3">
        <v>17968</v>
      </c>
      <c r="M24" s="3">
        <v>7337</v>
      </c>
    </row>
    <row r="25" spans="1:13">
      <c r="A25" t="s">
        <v>20</v>
      </c>
      <c r="B25" s="2" t="s">
        <v>397</v>
      </c>
      <c r="C25" t="s">
        <v>829</v>
      </c>
      <c r="E25" s="3">
        <v>251672</v>
      </c>
      <c r="G25" s="3">
        <v>230847</v>
      </c>
      <c r="I25" s="3">
        <v>122966</v>
      </c>
      <c r="K25" s="3">
        <v>232372</v>
      </c>
      <c r="M25" s="3">
        <v>325033</v>
      </c>
    </row>
    <row r="26" spans="1:13">
      <c r="A26" t="s">
        <v>20</v>
      </c>
      <c r="B26" s="2" t="s">
        <v>397</v>
      </c>
      <c r="C26" t="s">
        <v>201</v>
      </c>
      <c r="E26" s="3">
        <v>36765</v>
      </c>
      <c r="G26" s="3">
        <v>31465</v>
      </c>
      <c r="I26" s="3">
        <v>25649</v>
      </c>
      <c r="K26" s="3">
        <v>31584</v>
      </c>
      <c r="M26" s="3">
        <v>27099</v>
      </c>
    </row>
    <row r="27" spans="1:13" ht="29">
      <c r="A27" t="s">
        <v>20</v>
      </c>
      <c r="B27" s="2" t="s">
        <v>398</v>
      </c>
      <c r="C27" t="s">
        <v>829</v>
      </c>
      <c r="E27" s="3">
        <v>707814</v>
      </c>
      <c r="G27" s="3">
        <v>533873</v>
      </c>
      <c r="I27" s="3">
        <v>457790</v>
      </c>
      <c r="K27" s="3">
        <v>684784</v>
      </c>
      <c r="M27" s="3">
        <v>859578</v>
      </c>
    </row>
    <row r="28" spans="1:13" ht="29">
      <c r="A28" t="s">
        <v>20</v>
      </c>
      <c r="B28" s="2" t="s">
        <v>398</v>
      </c>
      <c r="C28" t="s">
        <v>201</v>
      </c>
      <c r="E28" s="3">
        <v>663715</v>
      </c>
      <c r="G28" s="3">
        <v>466558</v>
      </c>
      <c r="I28" s="3">
        <v>585264</v>
      </c>
      <c r="K28" s="3">
        <v>555821</v>
      </c>
      <c r="M28" s="3">
        <v>432772</v>
      </c>
    </row>
    <row r="29" spans="1:13">
      <c r="A29" t="s">
        <v>20</v>
      </c>
      <c r="B29" s="2" t="s">
        <v>399</v>
      </c>
      <c r="C29" t="s">
        <v>829</v>
      </c>
      <c r="E29" s="3">
        <v>1692</v>
      </c>
      <c r="G29" s="3">
        <v>1597</v>
      </c>
      <c r="I29" s="3">
        <v>2092</v>
      </c>
      <c r="K29" s="3">
        <v>1002</v>
      </c>
      <c r="M29" s="3">
        <v>1413</v>
      </c>
    </row>
    <row r="30" spans="1:13">
      <c r="A30" t="s">
        <v>20</v>
      </c>
      <c r="B30" s="2" t="s">
        <v>399</v>
      </c>
      <c r="C30" t="s">
        <v>201</v>
      </c>
      <c r="E30" s="3">
        <v>8058</v>
      </c>
      <c r="G30" s="3">
        <v>6322</v>
      </c>
      <c r="I30" s="3">
        <v>11148</v>
      </c>
      <c r="K30" s="3">
        <v>3492</v>
      </c>
      <c r="M30" s="3">
        <v>3796</v>
      </c>
    </row>
    <row r="31" spans="1:13">
      <c r="A31" t="s">
        <v>20</v>
      </c>
      <c r="B31" s="2" t="s">
        <v>400</v>
      </c>
      <c r="C31" t="s">
        <v>829</v>
      </c>
      <c r="E31" s="3">
        <v>2332820</v>
      </c>
      <c r="G31" s="3">
        <v>1989400</v>
      </c>
      <c r="I31" s="3">
        <v>1602992</v>
      </c>
      <c r="K31" s="3">
        <v>2856249</v>
      </c>
      <c r="M31" s="3">
        <v>3424051</v>
      </c>
    </row>
    <row r="32" spans="1:13">
      <c r="A32" t="s">
        <v>20</v>
      </c>
      <c r="B32" s="2" t="s">
        <v>400</v>
      </c>
      <c r="C32" t="s">
        <v>201</v>
      </c>
      <c r="E32" s="3">
        <v>8546485</v>
      </c>
      <c r="G32" s="3">
        <v>7914657</v>
      </c>
      <c r="I32" s="3">
        <v>6704643</v>
      </c>
      <c r="K32" s="3">
        <v>8428730</v>
      </c>
      <c r="M32" s="3">
        <v>8813525</v>
      </c>
    </row>
    <row r="33" spans="1:13">
      <c r="A33" s="5"/>
      <c r="B33" s="10"/>
      <c r="C33" s="5"/>
      <c r="D33" s="5"/>
      <c r="E33" s="5"/>
      <c r="F33" s="5"/>
      <c r="G33" s="5"/>
      <c r="H33" s="5"/>
      <c r="I33" s="5"/>
      <c r="J33" s="5"/>
      <c r="K33" s="5"/>
      <c r="L33" s="5"/>
      <c r="M33" s="5"/>
    </row>
    <row r="35" spans="1:13">
      <c r="A35" s="8" t="s">
        <v>14</v>
      </c>
      <c r="B35" s="11" t="s">
        <v>15</v>
      </c>
    </row>
    <row r="36" spans="1:13">
      <c r="A36" s="8" t="s">
        <v>214</v>
      </c>
      <c r="B36" s="11" t="s">
        <v>763</v>
      </c>
    </row>
    <row r="37" spans="1:13">
      <c r="A37" s="8" t="s">
        <v>215</v>
      </c>
      <c r="B37" s="11" t="s">
        <v>764</v>
      </c>
    </row>
    <row r="40" spans="1:13">
      <c r="A40" s="1" t="str">
        <f>HYPERLINK("[UKMY 2023 PrintableV1.1 12_09_24.xlsx]Contents!A1","Return to contents page")</f>
        <v>Return to contents page</v>
      </c>
    </row>
    <row r="64" spans="5:5">
      <c r="E64" s="9"/>
    </row>
  </sheetData>
  <sortState xmlns:xlrd2="http://schemas.microsoft.com/office/spreadsheetml/2017/richdata2" ref="A3:M32">
    <sortCondition ref="A8:A32"/>
    <sortCondition ref="B8:B32"/>
  </sortState>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B244-8714-4BDC-822B-42D20D7CA193}">
  <dimension ref="A1:K64"/>
  <sheetViews>
    <sheetView view="pageBreakPreview" zoomScaleNormal="100" zoomScaleSheetLayoutView="100" workbookViewId="0">
      <selection activeCell="A4" sqref="A4"/>
    </sheetView>
  </sheetViews>
  <sheetFormatPr defaultColWidth="9.1796875" defaultRowHeight="14"/>
  <cols>
    <col min="1" max="1" width="73" style="13" customWidth="1"/>
    <col min="2" max="2" width="2.1796875" style="13" bestFit="1" customWidth="1"/>
    <col min="3" max="3" width="9.453125" style="13" bestFit="1" customWidth="1"/>
    <col min="4" max="4" width="2.1796875" style="13" bestFit="1" customWidth="1"/>
    <col min="5" max="5" width="9.453125" style="13" bestFit="1" customWidth="1"/>
    <col min="6" max="6" width="2.1796875" style="13" bestFit="1" customWidth="1"/>
    <col min="7" max="7" width="9.453125" style="13" bestFit="1" customWidth="1"/>
    <col min="8" max="8" width="2.1796875" style="13" bestFit="1" customWidth="1"/>
    <col min="9" max="9" width="9.453125" style="13" bestFit="1" customWidth="1"/>
    <col min="10" max="10" width="2.1796875" style="13" bestFit="1" customWidth="1"/>
    <col min="11" max="11" width="9.453125" style="13" bestFit="1" customWidth="1"/>
    <col min="12" max="12" width="6" style="13" bestFit="1" customWidth="1"/>
    <col min="13" max="16384" width="9.1796875" style="13"/>
  </cols>
  <sheetData>
    <row r="1" spans="1:11" ht="15.5">
      <c r="A1" s="29" t="s">
        <v>837</v>
      </c>
      <c r="K1" s="41" t="s">
        <v>834</v>
      </c>
    </row>
    <row r="2" spans="1:11">
      <c r="A2" s="42" t="s">
        <v>0</v>
      </c>
      <c r="B2" s="42" t="s">
        <v>1</v>
      </c>
      <c r="C2" s="42">
        <v>2018</v>
      </c>
      <c r="D2" s="42" t="s">
        <v>1</v>
      </c>
      <c r="E2" s="42">
        <v>2019</v>
      </c>
      <c r="F2" s="42" t="s">
        <v>1</v>
      </c>
      <c r="G2" s="42">
        <v>2020</v>
      </c>
      <c r="H2" s="42" t="s">
        <v>1</v>
      </c>
      <c r="I2" s="42">
        <v>2021</v>
      </c>
      <c r="J2" s="42" t="s">
        <v>1</v>
      </c>
      <c r="K2" s="42">
        <v>2022</v>
      </c>
    </row>
    <row r="3" spans="1:11">
      <c r="A3" s="13" t="s">
        <v>403</v>
      </c>
      <c r="C3" s="43">
        <v>8497</v>
      </c>
      <c r="D3" s="43"/>
      <c r="E3" s="43">
        <v>8465</v>
      </c>
      <c r="F3" s="43"/>
      <c r="G3" s="43">
        <v>8173</v>
      </c>
      <c r="H3" s="43"/>
      <c r="I3" s="43">
        <v>3628</v>
      </c>
      <c r="J3" s="43"/>
      <c r="K3" s="43">
        <v>3600</v>
      </c>
    </row>
    <row r="4" spans="1:11">
      <c r="C4" s="43"/>
      <c r="D4" s="43"/>
      <c r="E4" s="43"/>
      <c r="F4" s="43"/>
      <c r="G4" s="43"/>
      <c r="H4" s="43"/>
      <c r="I4" s="43"/>
      <c r="J4" s="43"/>
      <c r="K4" s="43"/>
    </row>
    <row r="5" spans="1:11">
      <c r="A5" s="13" t="s">
        <v>404</v>
      </c>
      <c r="C5" s="43">
        <v>2665</v>
      </c>
      <c r="D5" s="43"/>
      <c r="E5" s="43">
        <v>2577</v>
      </c>
      <c r="F5" s="43"/>
      <c r="G5" s="43">
        <v>2486</v>
      </c>
      <c r="H5" s="43"/>
      <c r="I5" s="43"/>
      <c r="J5" s="43"/>
      <c r="K5" s="43"/>
    </row>
    <row r="6" spans="1:11">
      <c r="C6" s="43"/>
      <c r="D6" s="43"/>
      <c r="E6" s="43"/>
      <c r="F6" s="43"/>
      <c r="G6" s="43"/>
      <c r="H6" s="43"/>
      <c r="I6" s="43"/>
      <c r="J6" s="43"/>
      <c r="K6" s="43"/>
    </row>
    <row r="7" spans="1:11">
      <c r="A7" s="13" t="s">
        <v>405</v>
      </c>
      <c r="C7" s="43">
        <v>5613</v>
      </c>
      <c r="D7" s="43"/>
      <c r="E7" s="43">
        <v>5618</v>
      </c>
      <c r="F7" s="43"/>
      <c r="G7" s="43">
        <v>5508</v>
      </c>
      <c r="H7" s="43"/>
      <c r="I7" s="43">
        <v>5267</v>
      </c>
      <c r="J7" s="43"/>
      <c r="K7" s="43">
        <v>4645</v>
      </c>
    </row>
    <row r="8" spans="1:11">
      <c r="C8" s="43"/>
      <c r="D8" s="43"/>
      <c r="E8" s="43"/>
      <c r="F8" s="43"/>
      <c r="G8" s="43"/>
      <c r="H8" s="43"/>
      <c r="I8" s="43"/>
      <c r="J8" s="43"/>
      <c r="K8" s="43"/>
    </row>
    <row r="9" spans="1:11">
      <c r="A9" s="13" t="s">
        <v>688</v>
      </c>
      <c r="C9" s="43">
        <v>427</v>
      </c>
      <c r="D9" s="43"/>
      <c r="E9" s="43">
        <v>492</v>
      </c>
      <c r="F9" s="43"/>
      <c r="G9" s="43">
        <v>351</v>
      </c>
      <c r="H9" s="43"/>
      <c r="I9" s="43">
        <v>134.5</v>
      </c>
      <c r="J9" s="43"/>
      <c r="K9" s="43">
        <v>125.1</v>
      </c>
    </row>
    <row r="10" spans="1:11">
      <c r="A10" s="13" t="s">
        <v>720</v>
      </c>
      <c r="C10" s="43">
        <v>638</v>
      </c>
      <c r="D10" s="43"/>
      <c r="E10" s="43">
        <v>591</v>
      </c>
      <c r="F10" s="43"/>
      <c r="G10" s="43">
        <v>510</v>
      </c>
      <c r="H10" s="43"/>
      <c r="I10" s="43">
        <v>253</v>
      </c>
      <c r="J10" s="43"/>
      <c r="K10" s="43">
        <v>200</v>
      </c>
    </row>
    <row r="11" spans="1:11">
      <c r="A11" s="13" t="s">
        <v>721</v>
      </c>
      <c r="C11" s="43">
        <v>335</v>
      </c>
      <c r="D11" s="43"/>
      <c r="E11" s="43">
        <v>400</v>
      </c>
      <c r="F11" s="43"/>
      <c r="G11" s="43">
        <v>316</v>
      </c>
      <c r="H11" s="43"/>
      <c r="I11" s="43">
        <v>319.3</v>
      </c>
      <c r="J11" s="43"/>
      <c r="K11" s="43">
        <v>282.60000000000002</v>
      </c>
    </row>
    <row r="12" spans="1:11">
      <c r="A12" s="35"/>
      <c r="B12" s="35"/>
      <c r="C12" s="35"/>
      <c r="D12" s="35"/>
      <c r="E12" s="35"/>
      <c r="F12" s="35"/>
      <c r="G12" s="35"/>
      <c r="H12" s="35"/>
      <c r="I12" s="35"/>
      <c r="J12" s="35"/>
      <c r="K12" s="35"/>
    </row>
    <row r="14" spans="1:11">
      <c r="A14" s="13" t="s">
        <v>406</v>
      </c>
    </row>
    <row r="17" spans="1:1">
      <c r="A17"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6DDF-1824-4DC7-8DAE-A02C626B1689}">
  <dimension ref="A1:M64"/>
  <sheetViews>
    <sheetView view="pageBreakPreview" zoomScaleNormal="100" zoomScaleSheetLayoutView="100" workbookViewId="0">
      <selection activeCell="A50" sqref="A50"/>
    </sheetView>
  </sheetViews>
  <sheetFormatPr defaultColWidth="9.1796875" defaultRowHeight="14"/>
  <cols>
    <col min="1" max="1" width="14.26953125" style="13" customWidth="1"/>
    <col min="2" max="2" width="30.26953125" style="37" customWidth="1"/>
    <col min="3" max="3" width="22.26953125" style="13" bestFit="1" customWidth="1"/>
    <col min="4" max="4" width="4.26953125" style="13" bestFit="1" customWidth="1"/>
    <col min="5" max="5" width="8.453125" style="13" bestFit="1" customWidth="1"/>
    <col min="6" max="6" width="4.453125" style="13" bestFit="1" customWidth="1"/>
    <col min="7" max="7" width="8.453125" style="13" bestFit="1" customWidth="1"/>
    <col min="8" max="8" width="4.453125" style="13" bestFit="1" customWidth="1"/>
    <col min="9" max="9" width="8.453125" style="13" bestFit="1" customWidth="1"/>
    <col min="10" max="10" width="4.453125" style="13" bestFit="1" customWidth="1"/>
    <col min="11" max="11" width="8.453125" style="13" bestFit="1" customWidth="1"/>
    <col min="12" max="12" width="4.453125" style="13" bestFit="1" customWidth="1"/>
    <col min="13" max="13" width="8.453125" style="13" bestFit="1" customWidth="1"/>
    <col min="14" max="16384" width="9.1796875" style="13"/>
  </cols>
  <sheetData>
    <row r="1" spans="1:13" ht="15.5">
      <c r="A1" s="51" t="s">
        <v>407</v>
      </c>
    </row>
    <row r="2" spans="1:13">
      <c r="A2" s="23" t="s">
        <v>670</v>
      </c>
      <c r="B2" s="30" t="s">
        <v>0</v>
      </c>
      <c r="C2" s="23" t="s">
        <v>669</v>
      </c>
      <c r="D2" s="23" t="s">
        <v>1</v>
      </c>
      <c r="E2" s="23">
        <v>2018</v>
      </c>
      <c r="F2" s="23" t="s">
        <v>1</v>
      </c>
      <c r="G2" s="23">
        <v>2019</v>
      </c>
      <c r="H2" s="23" t="s">
        <v>1</v>
      </c>
      <c r="I2" s="23">
        <v>2020</v>
      </c>
      <c r="J2" s="23" t="s">
        <v>1</v>
      </c>
      <c r="K2" s="23">
        <v>2021</v>
      </c>
      <c r="L2" s="23" t="s">
        <v>1</v>
      </c>
      <c r="M2" s="23">
        <v>2022</v>
      </c>
    </row>
    <row r="3" spans="1:13">
      <c r="A3" s="16" t="s">
        <v>38</v>
      </c>
      <c r="B3" s="15" t="s">
        <v>722</v>
      </c>
      <c r="C3" s="16" t="s">
        <v>326</v>
      </c>
      <c r="D3" s="16" t="s">
        <v>209</v>
      </c>
      <c r="E3" s="60">
        <v>138000</v>
      </c>
      <c r="F3" s="16" t="s">
        <v>209</v>
      </c>
      <c r="G3" s="60">
        <v>146000</v>
      </c>
      <c r="H3" s="16" t="s">
        <v>209</v>
      </c>
      <c r="I3" s="60">
        <v>152200</v>
      </c>
      <c r="J3" s="16" t="s">
        <v>209</v>
      </c>
      <c r="K3" s="60">
        <v>163100</v>
      </c>
      <c r="L3" s="16" t="s">
        <v>209</v>
      </c>
      <c r="M3" s="60">
        <v>146900</v>
      </c>
    </row>
    <row r="4" spans="1:13">
      <c r="A4" s="16" t="s">
        <v>38</v>
      </c>
      <c r="B4" s="15" t="s">
        <v>722</v>
      </c>
      <c r="C4" s="16" t="s">
        <v>201</v>
      </c>
      <c r="D4" s="16"/>
      <c r="E4" s="60">
        <v>138000</v>
      </c>
      <c r="F4" s="16"/>
      <c r="G4" s="60">
        <v>146000</v>
      </c>
      <c r="H4" s="16"/>
      <c r="I4" s="60">
        <v>152200</v>
      </c>
      <c r="J4" s="16"/>
      <c r="K4" s="60">
        <v>163100</v>
      </c>
      <c r="L4" s="16"/>
      <c r="M4" s="60">
        <v>146900</v>
      </c>
    </row>
    <row r="5" spans="1:13">
      <c r="A5" s="16" t="s">
        <v>38</v>
      </c>
      <c r="B5" s="15" t="s">
        <v>689</v>
      </c>
      <c r="C5" s="16" t="s">
        <v>326</v>
      </c>
      <c r="D5" s="16"/>
      <c r="E5" s="60">
        <v>165000</v>
      </c>
      <c r="F5" s="16"/>
      <c r="G5" s="60">
        <v>165000</v>
      </c>
      <c r="H5" s="16"/>
      <c r="I5" s="60">
        <v>163000</v>
      </c>
      <c r="J5" s="16"/>
      <c r="K5" s="60">
        <v>164000</v>
      </c>
      <c r="L5" s="16"/>
      <c r="M5" s="60">
        <v>165000</v>
      </c>
    </row>
    <row r="6" spans="1:13">
      <c r="A6" s="16" t="s">
        <v>38</v>
      </c>
      <c r="B6" s="15" t="s">
        <v>689</v>
      </c>
      <c r="C6" s="16" t="s">
        <v>201</v>
      </c>
      <c r="D6" s="16"/>
      <c r="E6" s="60">
        <v>165000</v>
      </c>
      <c r="F6" s="16"/>
      <c r="G6" s="60">
        <v>165000</v>
      </c>
      <c r="H6" s="16"/>
      <c r="I6" s="60">
        <v>163000</v>
      </c>
      <c r="J6" s="16"/>
      <c r="K6" s="60">
        <v>164000</v>
      </c>
      <c r="L6" s="16"/>
      <c r="M6" s="60">
        <v>165000</v>
      </c>
    </row>
    <row r="7" spans="1:13">
      <c r="A7" s="16" t="s">
        <v>38</v>
      </c>
      <c r="B7" s="15" t="s">
        <v>414</v>
      </c>
      <c r="C7" s="16" t="s">
        <v>326</v>
      </c>
      <c r="D7" s="16" t="s">
        <v>415</v>
      </c>
      <c r="E7" s="16">
        <v>100</v>
      </c>
      <c r="F7" s="16" t="s">
        <v>416</v>
      </c>
      <c r="G7" s="16">
        <v>150</v>
      </c>
      <c r="H7" s="16" t="s">
        <v>416</v>
      </c>
      <c r="I7" s="16">
        <v>100</v>
      </c>
      <c r="J7" s="16" t="s">
        <v>416</v>
      </c>
      <c r="K7" s="16">
        <v>100</v>
      </c>
      <c r="L7" s="16" t="s">
        <v>416</v>
      </c>
      <c r="M7" s="16">
        <v>100</v>
      </c>
    </row>
    <row r="8" spans="1:13">
      <c r="A8" s="16" t="s">
        <v>38</v>
      </c>
      <c r="B8" s="15" t="s">
        <v>410</v>
      </c>
      <c r="C8" s="16" t="s">
        <v>201</v>
      </c>
      <c r="D8" s="16"/>
      <c r="E8" s="60">
        <v>303000</v>
      </c>
      <c r="F8" s="16"/>
      <c r="G8" s="60">
        <v>311000</v>
      </c>
      <c r="H8" s="16"/>
      <c r="I8" s="60">
        <v>315000</v>
      </c>
      <c r="J8" s="16"/>
      <c r="K8" s="60">
        <v>329000</v>
      </c>
      <c r="L8" s="16"/>
      <c r="M8" s="60">
        <v>309900</v>
      </c>
    </row>
    <row r="9" spans="1:13">
      <c r="A9" s="16" t="s">
        <v>38</v>
      </c>
      <c r="B9" s="15" t="s">
        <v>690</v>
      </c>
      <c r="C9" s="16" t="s">
        <v>326</v>
      </c>
      <c r="D9" s="16"/>
      <c r="E9" s="60">
        <v>36000</v>
      </c>
      <c r="F9" s="16"/>
      <c r="G9" s="60">
        <v>36000</v>
      </c>
      <c r="H9" s="16"/>
      <c r="I9" s="60">
        <v>36000</v>
      </c>
      <c r="J9" s="16"/>
      <c r="K9" s="60">
        <v>36000</v>
      </c>
      <c r="L9" s="16"/>
      <c r="M9" s="60">
        <v>36000</v>
      </c>
    </row>
    <row r="10" spans="1:13">
      <c r="A10" s="16" t="s">
        <v>38</v>
      </c>
      <c r="B10" s="15" t="s">
        <v>690</v>
      </c>
      <c r="C10" s="16" t="s">
        <v>201</v>
      </c>
      <c r="D10" s="16"/>
      <c r="E10" s="60">
        <v>36000</v>
      </c>
      <c r="F10" s="16"/>
      <c r="G10" s="60">
        <v>36000</v>
      </c>
      <c r="H10" s="16"/>
      <c r="I10" s="60">
        <v>36000</v>
      </c>
      <c r="J10" s="16"/>
      <c r="K10" s="60">
        <v>36000</v>
      </c>
      <c r="L10" s="16"/>
      <c r="M10" s="60">
        <v>36000</v>
      </c>
    </row>
    <row r="11" spans="1:13">
      <c r="A11" s="16"/>
      <c r="B11" s="15"/>
      <c r="C11" s="16"/>
      <c r="D11" s="16"/>
      <c r="E11" s="16"/>
      <c r="F11" s="16"/>
      <c r="G11" s="16"/>
      <c r="H11" s="16"/>
      <c r="I11" s="16"/>
      <c r="J11" s="16"/>
      <c r="K11" s="16"/>
      <c r="L11" s="16"/>
      <c r="M11" s="16"/>
    </row>
    <row r="12" spans="1:13">
      <c r="A12" s="16" t="s">
        <v>223</v>
      </c>
      <c r="B12" s="15" t="s">
        <v>410</v>
      </c>
      <c r="C12" s="16" t="s">
        <v>326</v>
      </c>
      <c r="D12" s="16"/>
      <c r="E12" s="60">
        <v>226200</v>
      </c>
      <c r="F12" s="16"/>
      <c r="G12" s="60">
        <v>241300</v>
      </c>
      <c r="H12" s="16"/>
      <c r="I12" s="60">
        <v>182900</v>
      </c>
      <c r="J12" s="16"/>
      <c r="K12" s="60">
        <v>294800</v>
      </c>
      <c r="L12" s="16"/>
      <c r="M12" s="60">
        <v>242300</v>
      </c>
    </row>
    <row r="13" spans="1:13">
      <c r="A13" s="16" t="s">
        <v>223</v>
      </c>
      <c r="B13" s="15" t="s">
        <v>410</v>
      </c>
      <c r="C13" s="16" t="s">
        <v>201</v>
      </c>
      <c r="D13" s="16"/>
      <c r="E13" s="60">
        <v>226200</v>
      </c>
      <c r="F13" s="16"/>
      <c r="G13" s="60">
        <v>241300</v>
      </c>
      <c r="H13" s="16"/>
      <c r="I13" s="60">
        <v>182900</v>
      </c>
      <c r="J13" s="16"/>
      <c r="K13" s="60">
        <v>294800</v>
      </c>
      <c r="L13" s="16"/>
      <c r="M13" s="60">
        <v>242300</v>
      </c>
    </row>
    <row r="14" spans="1:13">
      <c r="A14" s="16"/>
      <c r="B14" s="15"/>
      <c r="C14" s="16"/>
      <c r="D14" s="16"/>
      <c r="E14" s="60"/>
      <c r="F14" s="16"/>
      <c r="G14" s="60"/>
      <c r="H14" s="16"/>
      <c r="I14" s="60"/>
      <c r="J14" s="16"/>
      <c r="K14" s="60"/>
      <c r="L14" s="16"/>
      <c r="M14" s="60"/>
    </row>
    <row r="15" spans="1:13">
      <c r="A15" s="16" t="s">
        <v>19</v>
      </c>
      <c r="B15" s="15" t="s">
        <v>408</v>
      </c>
      <c r="C15" s="16" t="s">
        <v>829</v>
      </c>
      <c r="D15" s="16"/>
      <c r="E15" s="16">
        <v>9</v>
      </c>
      <c r="F15" s="16"/>
      <c r="G15" s="16">
        <v>228</v>
      </c>
      <c r="H15" s="16"/>
      <c r="I15" s="16">
        <v>603</v>
      </c>
      <c r="J15" s="16"/>
      <c r="K15" s="16">
        <v>558</v>
      </c>
      <c r="L15" s="16"/>
      <c r="M15" s="16">
        <v>727</v>
      </c>
    </row>
    <row r="16" spans="1:13">
      <c r="A16" s="16" t="s">
        <v>19</v>
      </c>
      <c r="B16" s="15" t="s">
        <v>408</v>
      </c>
      <c r="C16" s="16" t="s">
        <v>201</v>
      </c>
      <c r="D16" s="16"/>
      <c r="E16" s="16">
        <v>1</v>
      </c>
      <c r="F16" s="16"/>
      <c r="G16" s="16">
        <v>105</v>
      </c>
      <c r="H16" s="16"/>
      <c r="I16" s="16">
        <v>235</v>
      </c>
      <c r="J16" s="16"/>
      <c r="K16" s="16">
        <v>230</v>
      </c>
      <c r="L16" s="16"/>
      <c r="M16" s="16">
        <v>360</v>
      </c>
    </row>
    <row r="17" spans="1:13">
      <c r="A17" s="16" t="s">
        <v>19</v>
      </c>
      <c r="B17" s="15" t="s">
        <v>409</v>
      </c>
      <c r="C17" s="16" t="s">
        <v>829</v>
      </c>
      <c r="D17" s="16"/>
      <c r="E17" s="60">
        <v>2905</v>
      </c>
      <c r="F17" s="16"/>
      <c r="G17" s="60">
        <v>3435</v>
      </c>
      <c r="H17" s="16"/>
      <c r="I17" s="60">
        <v>1170</v>
      </c>
      <c r="J17" s="16"/>
      <c r="K17" s="16">
        <v>244</v>
      </c>
      <c r="L17" s="16"/>
      <c r="M17" s="16">
        <v>16</v>
      </c>
    </row>
    <row r="18" spans="1:13">
      <c r="A18" s="16" t="s">
        <v>19</v>
      </c>
      <c r="B18" s="15" t="s">
        <v>409</v>
      </c>
      <c r="C18" s="16" t="s">
        <v>201</v>
      </c>
      <c r="D18" s="16"/>
      <c r="E18" s="60">
        <v>1330</v>
      </c>
      <c r="F18" s="16"/>
      <c r="G18" s="60">
        <v>1949</v>
      </c>
      <c r="H18" s="16"/>
      <c r="I18" s="16">
        <v>748</v>
      </c>
      <c r="J18" s="16"/>
      <c r="K18" s="16">
        <v>718</v>
      </c>
      <c r="L18" s="16"/>
      <c r="M18" s="16">
        <v>1</v>
      </c>
    </row>
    <row r="19" spans="1:13">
      <c r="A19" s="16" t="s">
        <v>19</v>
      </c>
      <c r="B19" s="15" t="s">
        <v>411</v>
      </c>
      <c r="C19" s="16" t="s">
        <v>829</v>
      </c>
      <c r="D19" s="16"/>
      <c r="E19" s="60">
        <v>3081</v>
      </c>
      <c r="F19" s="16"/>
      <c r="G19" s="60">
        <v>9000</v>
      </c>
      <c r="H19" s="16"/>
      <c r="I19" s="60">
        <v>2373</v>
      </c>
      <c r="J19" s="16"/>
      <c r="K19" s="60">
        <v>1486</v>
      </c>
      <c r="L19" s="16"/>
      <c r="M19" s="60">
        <v>4592</v>
      </c>
    </row>
    <row r="20" spans="1:13">
      <c r="A20" s="16" t="s">
        <v>19</v>
      </c>
      <c r="B20" s="15" t="s">
        <v>411</v>
      </c>
      <c r="C20" s="16" t="s">
        <v>201</v>
      </c>
      <c r="D20" s="16"/>
      <c r="E20" s="60">
        <v>2250</v>
      </c>
      <c r="F20" s="16"/>
      <c r="G20" s="60">
        <v>6218</v>
      </c>
      <c r="H20" s="16"/>
      <c r="I20" s="60">
        <v>2000</v>
      </c>
      <c r="J20" s="16"/>
      <c r="K20" s="16">
        <v>992</v>
      </c>
      <c r="L20" s="16"/>
      <c r="M20" s="60">
        <v>2784</v>
      </c>
    </row>
    <row r="21" spans="1:13">
      <c r="A21" s="16" t="s">
        <v>19</v>
      </c>
      <c r="B21" s="15" t="s">
        <v>738</v>
      </c>
      <c r="C21" s="16" t="s">
        <v>829</v>
      </c>
      <c r="D21" s="16" t="s">
        <v>213</v>
      </c>
      <c r="E21" s="60">
        <v>259315</v>
      </c>
      <c r="F21" s="16" t="s">
        <v>213</v>
      </c>
      <c r="G21" s="60">
        <v>232526</v>
      </c>
      <c r="H21" s="16" t="s">
        <v>213</v>
      </c>
      <c r="I21" s="60">
        <v>264058</v>
      </c>
      <c r="J21" s="16" t="s">
        <v>213</v>
      </c>
      <c r="K21" s="60">
        <v>361057</v>
      </c>
      <c r="L21" s="16" t="s">
        <v>213</v>
      </c>
      <c r="M21" s="60">
        <v>314977</v>
      </c>
    </row>
    <row r="22" spans="1:13">
      <c r="A22" s="16" t="s">
        <v>19</v>
      </c>
      <c r="B22" s="15" t="s">
        <v>738</v>
      </c>
      <c r="C22" s="16" t="s">
        <v>201</v>
      </c>
      <c r="D22" s="16" t="s">
        <v>213</v>
      </c>
      <c r="E22" s="60">
        <v>115539</v>
      </c>
      <c r="F22" s="16" t="s">
        <v>213</v>
      </c>
      <c r="G22" s="60">
        <v>116553</v>
      </c>
      <c r="H22" s="16" t="s">
        <v>213</v>
      </c>
      <c r="I22" s="60">
        <v>139539</v>
      </c>
      <c r="J22" s="16" t="s">
        <v>213</v>
      </c>
      <c r="K22" s="60">
        <v>168136</v>
      </c>
      <c r="L22" s="16" t="s">
        <v>213</v>
      </c>
      <c r="M22" s="60">
        <v>135179</v>
      </c>
    </row>
    <row r="23" spans="1:13">
      <c r="A23" s="16" t="s">
        <v>19</v>
      </c>
      <c r="B23" s="15" t="s">
        <v>412</v>
      </c>
      <c r="C23" s="16" t="s">
        <v>829</v>
      </c>
      <c r="D23" s="16"/>
      <c r="E23" s="16">
        <v>33</v>
      </c>
      <c r="F23" s="16"/>
      <c r="G23" s="16">
        <v>166</v>
      </c>
      <c r="H23" s="16"/>
      <c r="I23" s="16">
        <v>162</v>
      </c>
      <c r="J23" s="16"/>
      <c r="K23" s="16">
        <v>12</v>
      </c>
      <c r="L23" s="16"/>
      <c r="M23" s="60">
        <v>6951</v>
      </c>
    </row>
    <row r="24" spans="1:13">
      <c r="A24" s="16" t="s">
        <v>19</v>
      </c>
      <c r="B24" s="15" t="s">
        <v>412</v>
      </c>
      <c r="C24" s="16" t="s">
        <v>201</v>
      </c>
      <c r="D24" s="16"/>
      <c r="E24" s="16">
        <v>21</v>
      </c>
      <c r="F24" s="16"/>
      <c r="G24" s="16">
        <v>106</v>
      </c>
      <c r="H24" s="16"/>
      <c r="I24" s="16">
        <v>108</v>
      </c>
      <c r="J24" s="16"/>
      <c r="K24" s="16">
        <v>5</v>
      </c>
      <c r="L24" s="16"/>
      <c r="M24" s="60">
        <v>3819</v>
      </c>
    </row>
    <row r="25" spans="1:13">
      <c r="A25" s="16" t="s">
        <v>19</v>
      </c>
      <c r="B25" s="15" t="s">
        <v>413</v>
      </c>
      <c r="C25" s="16" t="s">
        <v>829</v>
      </c>
      <c r="D25" s="16"/>
      <c r="E25" s="60">
        <v>43322</v>
      </c>
      <c r="F25" s="16"/>
      <c r="G25" s="60">
        <v>63173</v>
      </c>
      <c r="H25" s="16"/>
      <c r="I25" s="60">
        <v>16017</v>
      </c>
      <c r="J25" s="16"/>
      <c r="K25" s="60">
        <v>19955</v>
      </c>
      <c r="L25" s="16"/>
      <c r="M25" s="60">
        <v>15927</v>
      </c>
    </row>
    <row r="26" spans="1:13">
      <c r="A26" s="16" t="s">
        <v>19</v>
      </c>
      <c r="B26" s="15" t="s">
        <v>413</v>
      </c>
      <c r="C26" s="16" t="s">
        <v>201</v>
      </c>
      <c r="D26" s="16"/>
      <c r="E26" s="60">
        <v>26020</v>
      </c>
      <c r="F26" s="16"/>
      <c r="G26" s="60">
        <v>38570</v>
      </c>
      <c r="H26" s="16"/>
      <c r="I26" s="60">
        <v>10707</v>
      </c>
      <c r="J26" s="16"/>
      <c r="K26" s="60">
        <v>12273</v>
      </c>
      <c r="L26" s="16"/>
      <c r="M26" s="60">
        <v>8828</v>
      </c>
    </row>
    <row r="27" spans="1:13">
      <c r="A27" s="16" t="s">
        <v>19</v>
      </c>
      <c r="B27" s="15" t="s">
        <v>691</v>
      </c>
      <c r="C27" s="16" t="s">
        <v>829</v>
      </c>
      <c r="D27" s="16"/>
      <c r="E27" s="60">
        <v>24351</v>
      </c>
      <c r="F27" s="16"/>
      <c r="G27" s="60">
        <v>31183</v>
      </c>
      <c r="H27" s="16"/>
      <c r="I27" s="60">
        <v>5684</v>
      </c>
      <c r="J27" s="16"/>
      <c r="K27" s="60">
        <v>3951</v>
      </c>
      <c r="L27" s="16"/>
      <c r="M27" s="60">
        <v>1673</v>
      </c>
    </row>
    <row r="28" spans="1:13">
      <c r="A28" s="16" t="s">
        <v>19</v>
      </c>
      <c r="B28" s="15" t="s">
        <v>691</v>
      </c>
      <c r="C28" s="16" t="s">
        <v>201</v>
      </c>
      <c r="D28" s="16"/>
      <c r="E28" s="60">
        <v>12487</v>
      </c>
      <c r="F28" s="16"/>
      <c r="G28" s="60">
        <v>16694</v>
      </c>
      <c r="H28" s="16"/>
      <c r="I28" s="60">
        <v>3519</v>
      </c>
      <c r="J28" s="16"/>
      <c r="K28" s="60">
        <v>2295</v>
      </c>
      <c r="L28" s="16"/>
      <c r="M28" s="16">
        <v>802</v>
      </c>
    </row>
    <row r="29" spans="1:13">
      <c r="A29" s="16"/>
      <c r="B29" s="15"/>
      <c r="C29" s="16"/>
      <c r="D29" s="16"/>
      <c r="E29" s="60"/>
      <c r="F29" s="16"/>
      <c r="G29" s="60"/>
      <c r="H29" s="16"/>
      <c r="I29" s="60"/>
      <c r="J29" s="16"/>
      <c r="K29" s="60"/>
      <c r="L29" s="16"/>
      <c r="M29" s="16"/>
    </row>
    <row r="30" spans="1:13">
      <c r="A30" s="16" t="s">
        <v>20</v>
      </c>
      <c r="B30" s="15" t="s">
        <v>408</v>
      </c>
      <c r="C30" s="16" t="s">
        <v>829</v>
      </c>
      <c r="D30" s="16"/>
      <c r="E30" s="16">
        <v>642</v>
      </c>
      <c r="F30" s="16"/>
      <c r="G30" s="60">
        <v>1581</v>
      </c>
      <c r="H30" s="16"/>
      <c r="I30" s="16">
        <v>826</v>
      </c>
      <c r="J30" s="16"/>
      <c r="K30" s="16">
        <v>12</v>
      </c>
      <c r="L30" s="16"/>
      <c r="M30" s="16">
        <v>63</v>
      </c>
    </row>
    <row r="31" spans="1:13">
      <c r="A31" s="16" t="s">
        <v>20</v>
      </c>
      <c r="B31" s="15" t="s">
        <v>408</v>
      </c>
      <c r="C31" s="16" t="s">
        <v>201</v>
      </c>
      <c r="D31" s="16"/>
      <c r="E31" s="60">
        <v>8316</v>
      </c>
      <c r="F31" s="16"/>
      <c r="G31" s="60">
        <v>7998</v>
      </c>
      <c r="H31" s="16"/>
      <c r="I31" s="60">
        <v>6820</v>
      </c>
      <c r="J31" s="16"/>
      <c r="K31" s="60">
        <v>4413</v>
      </c>
      <c r="L31" s="16"/>
      <c r="M31" s="16">
        <v>8</v>
      </c>
    </row>
    <row r="32" spans="1:13">
      <c r="A32" s="16" t="s">
        <v>20</v>
      </c>
      <c r="B32" s="15" t="s">
        <v>409</v>
      </c>
      <c r="C32" s="16" t="s">
        <v>829</v>
      </c>
      <c r="D32" s="16"/>
      <c r="E32" s="60">
        <v>3259</v>
      </c>
      <c r="F32" s="16"/>
      <c r="G32" s="60">
        <v>2526</v>
      </c>
      <c r="H32" s="16"/>
      <c r="I32" s="60">
        <v>2963</v>
      </c>
      <c r="J32" s="16"/>
      <c r="K32" s="16">
        <v>191</v>
      </c>
      <c r="L32" s="16"/>
      <c r="M32" s="16">
        <v>53</v>
      </c>
    </row>
    <row r="33" spans="1:13">
      <c r="A33" s="16" t="s">
        <v>20</v>
      </c>
      <c r="B33" s="15" t="s">
        <v>409</v>
      </c>
      <c r="C33" s="16" t="s">
        <v>201</v>
      </c>
      <c r="D33" s="16"/>
      <c r="E33" s="60">
        <v>1838</v>
      </c>
      <c r="F33" s="16"/>
      <c r="G33" s="60">
        <v>2231</v>
      </c>
      <c r="H33" s="16"/>
      <c r="I33" s="60">
        <v>1886</v>
      </c>
      <c r="J33" s="16"/>
      <c r="K33" s="16">
        <v>111</v>
      </c>
      <c r="L33" s="16"/>
      <c r="M33" s="16">
        <v>38</v>
      </c>
    </row>
    <row r="34" spans="1:13">
      <c r="A34" s="16" t="s">
        <v>20</v>
      </c>
      <c r="B34" s="15" t="s">
        <v>411</v>
      </c>
      <c r="C34" s="16" t="s">
        <v>829</v>
      </c>
      <c r="D34" s="16"/>
      <c r="E34" s="60">
        <v>78254</v>
      </c>
      <c r="F34" s="16"/>
      <c r="G34" s="60">
        <v>54767</v>
      </c>
      <c r="H34" s="16"/>
      <c r="I34" s="60">
        <v>48016</v>
      </c>
      <c r="J34" s="16"/>
      <c r="K34" s="60">
        <v>70310</v>
      </c>
      <c r="L34" s="16"/>
      <c r="M34" s="60">
        <v>74188</v>
      </c>
    </row>
    <row r="35" spans="1:13">
      <c r="A35" s="16" t="s">
        <v>20</v>
      </c>
      <c r="B35" s="15" t="s">
        <v>411</v>
      </c>
      <c r="C35" s="16" t="s">
        <v>201</v>
      </c>
      <c r="D35" s="16"/>
      <c r="E35" s="60">
        <v>58094</v>
      </c>
      <c r="F35" s="16"/>
      <c r="G35" s="60">
        <v>46328</v>
      </c>
      <c r="H35" s="16"/>
      <c r="I35" s="60">
        <v>41202</v>
      </c>
      <c r="J35" s="16"/>
      <c r="K35" s="60">
        <v>53318</v>
      </c>
      <c r="L35" s="16"/>
      <c r="M35" s="60">
        <v>50849</v>
      </c>
    </row>
    <row r="36" spans="1:13">
      <c r="A36" s="16" t="s">
        <v>20</v>
      </c>
      <c r="B36" s="15" t="s">
        <v>738</v>
      </c>
      <c r="C36" s="16" t="s">
        <v>829</v>
      </c>
      <c r="D36" s="16"/>
      <c r="E36" s="16">
        <v>7</v>
      </c>
      <c r="F36" s="16"/>
      <c r="G36" s="16">
        <v>649</v>
      </c>
      <c r="H36" s="16"/>
      <c r="I36" s="16">
        <v>15</v>
      </c>
      <c r="J36" s="16"/>
      <c r="K36" s="16">
        <v>12</v>
      </c>
      <c r="L36" s="16"/>
      <c r="M36" s="16">
        <v>631</v>
      </c>
    </row>
    <row r="37" spans="1:13">
      <c r="A37" s="16" t="s">
        <v>20</v>
      </c>
      <c r="B37" s="15" t="s">
        <v>738</v>
      </c>
      <c r="C37" s="16" t="s">
        <v>201</v>
      </c>
      <c r="D37" s="16"/>
      <c r="E37" s="16">
        <v>0</v>
      </c>
      <c r="F37" s="16"/>
      <c r="G37" s="16">
        <v>349</v>
      </c>
      <c r="H37" s="16"/>
      <c r="I37" s="16">
        <v>0</v>
      </c>
      <c r="J37" s="16"/>
      <c r="K37" s="16">
        <v>0</v>
      </c>
      <c r="L37" s="16"/>
      <c r="M37" s="16">
        <v>307</v>
      </c>
    </row>
    <row r="38" spans="1:13">
      <c r="A38" s="16" t="s">
        <v>20</v>
      </c>
      <c r="B38" s="15" t="s">
        <v>412</v>
      </c>
      <c r="C38" s="16" t="s">
        <v>829</v>
      </c>
      <c r="D38" s="16"/>
      <c r="E38" s="60">
        <v>41617</v>
      </c>
      <c r="F38" s="16"/>
      <c r="G38" s="60">
        <v>58070</v>
      </c>
      <c r="H38" s="16"/>
      <c r="I38" s="60">
        <v>46147</v>
      </c>
      <c r="J38" s="16"/>
      <c r="K38" s="60">
        <v>7605</v>
      </c>
      <c r="L38" s="16"/>
      <c r="M38" s="60">
        <v>10252</v>
      </c>
    </row>
    <row r="39" spans="1:13">
      <c r="A39" s="16" t="s">
        <v>20</v>
      </c>
      <c r="B39" s="15" t="s">
        <v>412</v>
      </c>
      <c r="C39" s="16" t="s">
        <v>201</v>
      </c>
      <c r="D39" s="16"/>
      <c r="E39" s="60">
        <v>22677</v>
      </c>
      <c r="F39" s="16"/>
      <c r="G39" s="60">
        <v>33520</v>
      </c>
      <c r="H39" s="16"/>
      <c r="I39" s="60">
        <v>31282</v>
      </c>
      <c r="J39" s="16"/>
      <c r="K39" s="60">
        <v>4081</v>
      </c>
      <c r="L39" s="16"/>
      <c r="M39" s="60">
        <v>4895</v>
      </c>
    </row>
    <row r="40" spans="1:13">
      <c r="A40" s="16" t="s">
        <v>20</v>
      </c>
      <c r="B40" s="15" t="s">
        <v>413</v>
      </c>
      <c r="C40" s="16" t="s">
        <v>829</v>
      </c>
      <c r="D40" s="16"/>
      <c r="E40" s="60">
        <v>152919</v>
      </c>
      <c r="F40" s="16"/>
      <c r="G40" s="60">
        <v>132072</v>
      </c>
      <c r="H40" s="16"/>
      <c r="I40" s="60">
        <v>169454</v>
      </c>
      <c r="J40" s="16"/>
      <c r="K40" s="60">
        <v>206704</v>
      </c>
      <c r="L40" s="16"/>
      <c r="M40" s="60">
        <v>197234</v>
      </c>
    </row>
    <row r="41" spans="1:13">
      <c r="A41" s="16" t="s">
        <v>20</v>
      </c>
      <c r="B41" s="15" t="s">
        <v>413</v>
      </c>
      <c r="C41" s="16" t="s">
        <v>201</v>
      </c>
      <c r="D41" s="16"/>
      <c r="E41" s="60">
        <v>80120</v>
      </c>
      <c r="F41" s="16"/>
      <c r="G41" s="60">
        <v>74760</v>
      </c>
      <c r="H41" s="16"/>
      <c r="I41" s="60">
        <v>108055</v>
      </c>
      <c r="J41" s="16"/>
      <c r="K41" s="60">
        <v>122265</v>
      </c>
      <c r="L41" s="16"/>
      <c r="M41" s="60">
        <v>102919</v>
      </c>
    </row>
    <row r="42" spans="1:13">
      <c r="A42" s="16" t="s">
        <v>20</v>
      </c>
      <c r="B42" s="15" t="s">
        <v>691</v>
      </c>
      <c r="C42" s="16" t="s">
        <v>829</v>
      </c>
      <c r="D42" s="16"/>
      <c r="E42" s="60">
        <v>128821</v>
      </c>
      <c r="F42" s="16"/>
      <c r="G42" s="60">
        <v>154434</v>
      </c>
      <c r="H42" s="16"/>
      <c r="I42" s="60">
        <v>80534</v>
      </c>
      <c r="J42" s="16"/>
      <c r="K42" s="60">
        <v>123608</v>
      </c>
      <c r="L42" s="16"/>
      <c r="M42" s="60">
        <v>163002</v>
      </c>
    </row>
    <row r="43" spans="1:13">
      <c r="A43" s="16" t="s">
        <v>20</v>
      </c>
      <c r="B43" s="15" t="s">
        <v>691</v>
      </c>
      <c r="C43" s="16" t="s">
        <v>201</v>
      </c>
      <c r="D43" s="16"/>
      <c r="E43" s="60">
        <v>63162</v>
      </c>
      <c r="F43" s="16"/>
      <c r="G43" s="60">
        <v>61893</v>
      </c>
      <c r="H43" s="16"/>
      <c r="I43" s="60">
        <v>45917</v>
      </c>
      <c r="J43" s="16"/>
      <c r="K43" s="60">
        <v>64281</v>
      </c>
      <c r="L43" s="16"/>
      <c r="M43" s="60">
        <v>75648</v>
      </c>
    </row>
    <row r="44" spans="1:13">
      <c r="A44" s="26"/>
      <c r="B44" s="34"/>
      <c r="C44" s="26"/>
      <c r="D44" s="26"/>
      <c r="E44" s="26"/>
      <c r="F44" s="26"/>
      <c r="G44" s="26"/>
      <c r="H44" s="26"/>
      <c r="I44" s="26"/>
      <c r="J44" s="26"/>
      <c r="K44" s="26"/>
      <c r="L44" s="26"/>
      <c r="M44" s="26"/>
    </row>
    <row r="45" spans="1:13">
      <c r="A45" s="16"/>
      <c r="B45" s="15"/>
      <c r="C45" s="16"/>
      <c r="D45" s="16"/>
      <c r="E45" s="16"/>
      <c r="F45" s="16"/>
      <c r="G45" s="16"/>
      <c r="H45" s="16"/>
      <c r="I45" s="16"/>
      <c r="J45" s="16"/>
      <c r="K45" s="16"/>
      <c r="L45" s="16"/>
      <c r="M45" s="16"/>
    </row>
    <row r="46" spans="1:13">
      <c r="A46" s="16" t="s">
        <v>14</v>
      </c>
      <c r="B46" s="15" t="s">
        <v>15</v>
      </c>
      <c r="C46" s="16"/>
      <c r="D46" s="16"/>
      <c r="E46" s="16"/>
      <c r="F46" s="16"/>
      <c r="G46" s="16"/>
      <c r="H46" s="16"/>
      <c r="I46" s="16"/>
      <c r="J46" s="16"/>
      <c r="K46" s="16"/>
      <c r="L46" s="16"/>
      <c r="M46" s="16"/>
    </row>
    <row r="47" spans="1:13">
      <c r="A47" s="16" t="s">
        <v>221</v>
      </c>
      <c r="B47" s="15" t="s">
        <v>297</v>
      </c>
      <c r="C47" s="16"/>
      <c r="D47" s="16"/>
      <c r="E47" s="16"/>
      <c r="F47" s="16"/>
      <c r="G47" s="16"/>
      <c r="H47" s="16"/>
      <c r="I47" s="16"/>
      <c r="J47" s="16"/>
      <c r="K47" s="16"/>
      <c r="L47" s="16"/>
      <c r="M47" s="16"/>
    </row>
    <row r="48" spans="1:13">
      <c r="A48" s="16" t="s">
        <v>214</v>
      </c>
      <c r="B48" s="105" t="s">
        <v>418</v>
      </c>
      <c r="C48" s="105"/>
      <c r="D48" s="105"/>
      <c r="E48" s="105"/>
      <c r="F48" s="105"/>
      <c r="G48" s="105"/>
      <c r="H48" s="105"/>
      <c r="I48" s="105"/>
      <c r="J48" s="16"/>
      <c r="K48" s="16"/>
      <c r="L48" s="16"/>
      <c r="M48" s="16"/>
    </row>
    <row r="49" spans="1:13">
      <c r="A49" s="16" t="s">
        <v>215</v>
      </c>
      <c r="B49" s="105" t="s">
        <v>419</v>
      </c>
      <c r="C49" s="105"/>
      <c r="D49" s="105"/>
      <c r="E49" s="105"/>
      <c r="F49" s="105"/>
      <c r="G49" s="105"/>
      <c r="H49" s="105"/>
      <c r="I49" s="105"/>
      <c r="J49" s="16"/>
      <c r="K49" s="16"/>
      <c r="L49" s="16"/>
      <c r="M49" s="16"/>
    </row>
    <row r="50" spans="1:13">
      <c r="A50" s="16" t="s">
        <v>217</v>
      </c>
      <c r="B50" s="105" t="s">
        <v>420</v>
      </c>
      <c r="C50" s="105"/>
      <c r="D50" s="105"/>
      <c r="E50" s="105"/>
      <c r="F50" s="105"/>
      <c r="G50" s="105"/>
      <c r="H50" s="105"/>
      <c r="I50" s="105"/>
      <c r="J50" s="16"/>
      <c r="K50" s="16"/>
      <c r="L50" s="16"/>
      <c r="M50" s="16"/>
    </row>
    <row r="51" spans="1:13">
      <c r="A51" s="16" t="s">
        <v>417</v>
      </c>
      <c r="B51" s="105" t="s">
        <v>796</v>
      </c>
      <c r="C51" s="105"/>
      <c r="D51" s="105"/>
      <c r="E51" s="105"/>
      <c r="F51" s="105"/>
      <c r="G51" s="105"/>
      <c r="H51" s="105"/>
      <c r="I51" s="105"/>
      <c r="J51" s="16"/>
      <c r="K51" s="16"/>
      <c r="L51" s="16"/>
      <c r="M51" s="16"/>
    </row>
    <row r="52" spans="1:13">
      <c r="A52" s="16"/>
      <c r="B52" s="15"/>
      <c r="C52" s="16"/>
      <c r="D52" s="16"/>
      <c r="E52" s="16"/>
      <c r="F52" s="16"/>
      <c r="G52" s="16"/>
      <c r="H52" s="16"/>
      <c r="I52" s="16"/>
      <c r="J52" s="16"/>
      <c r="K52" s="16"/>
      <c r="L52" s="16"/>
      <c r="M52" s="16"/>
    </row>
    <row r="53" spans="1:13">
      <c r="A53" s="16"/>
      <c r="B53" s="15"/>
      <c r="C53" s="16"/>
      <c r="D53" s="16"/>
      <c r="E53" s="16"/>
      <c r="F53" s="16"/>
      <c r="G53" s="16"/>
      <c r="H53" s="16"/>
      <c r="I53" s="16"/>
      <c r="J53" s="16"/>
      <c r="K53" s="16"/>
      <c r="L53" s="16"/>
      <c r="M53" s="16"/>
    </row>
    <row r="54" spans="1:13">
      <c r="A54" s="28" t="str">
        <f>HYPERLINK("[UKMY 2023 PrintableV1.1 12_09_24.xlsx]Contents!A1","Return to contents page")</f>
        <v>Return to contents page</v>
      </c>
      <c r="B54" s="15"/>
      <c r="C54" s="16"/>
      <c r="D54" s="16"/>
      <c r="E54" s="16"/>
      <c r="F54" s="16"/>
      <c r="G54" s="16"/>
      <c r="H54" s="16"/>
      <c r="I54" s="16"/>
      <c r="J54" s="16"/>
      <c r="K54" s="16"/>
      <c r="L54" s="16"/>
      <c r="M54" s="16"/>
    </row>
    <row r="64" spans="1:13">
      <c r="E64" s="47"/>
    </row>
  </sheetData>
  <sortState xmlns:xlrd2="http://schemas.microsoft.com/office/spreadsheetml/2017/richdata2" ref="A3:M43">
    <sortCondition ref="A12:A43"/>
    <sortCondition ref="B12:B43"/>
  </sortState>
  <mergeCells count="4">
    <mergeCell ref="B48:I48"/>
    <mergeCell ref="B49:I49"/>
    <mergeCell ref="B50:I50"/>
    <mergeCell ref="B51:I51"/>
  </mergeCell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8D52-D84E-4026-9CD8-A55A30F2D63D}">
  <dimension ref="A1:M64"/>
  <sheetViews>
    <sheetView view="pageBreakPreview" zoomScaleNormal="100" zoomScaleSheetLayoutView="100" workbookViewId="0">
      <selection activeCell="B2" sqref="B2"/>
    </sheetView>
  </sheetViews>
  <sheetFormatPr defaultColWidth="9.1796875" defaultRowHeight="14"/>
  <cols>
    <col min="1" max="1" width="20.26953125" style="13" customWidth="1"/>
    <col min="2" max="2" width="26.26953125" style="13" bestFit="1" customWidth="1"/>
    <col min="3" max="3" width="15.26953125" style="13" bestFit="1" customWidth="1"/>
    <col min="4" max="4" width="3.453125" style="13" bestFit="1" customWidth="1"/>
    <col min="5" max="5" width="8.453125" style="13" bestFit="1" customWidth="1"/>
    <col min="6" max="6" width="3.453125" style="13" bestFit="1" customWidth="1"/>
    <col min="7" max="7" width="8.453125" style="13" bestFit="1" customWidth="1"/>
    <col min="8" max="8" width="3.453125" style="13" bestFit="1" customWidth="1"/>
    <col min="9" max="9" width="8.453125" style="13" bestFit="1" customWidth="1"/>
    <col min="10" max="10" width="3.453125" style="13" bestFit="1" customWidth="1"/>
    <col min="11" max="11" width="8.453125" style="13" bestFit="1" customWidth="1"/>
    <col min="12" max="12" width="3.453125" style="13" bestFit="1" customWidth="1"/>
    <col min="13" max="13" width="8.453125" style="13" bestFit="1" customWidth="1"/>
    <col min="14" max="16384" width="9.1796875" style="13"/>
  </cols>
  <sheetData>
    <row r="1" spans="1:13" ht="15.5">
      <c r="A1" s="20" t="s">
        <v>421</v>
      </c>
    </row>
    <row r="2" spans="1:13">
      <c r="A2" s="42" t="s">
        <v>670</v>
      </c>
      <c r="B2" s="42" t="s">
        <v>0</v>
      </c>
      <c r="C2" s="42" t="s">
        <v>669</v>
      </c>
      <c r="D2" s="42" t="s">
        <v>1</v>
      </c>
      <c r="E2" s="42">
        <v>2018</v>
      </c>
      <c r="F2" s="42" t="s">
        <v>1</v>
      </c>
      <c r="G2" s="42">
        <v>2019</v>
      </c>
      <c r="H2" s="42" t="s">
        <v>1</v>
      </c>
      <c r="I2" s="42">
        <v>2020</v>
      </c>
      <c r="J2" s="42" t="s">
        <v>1</v>
      </c>
      <c r="K2" s="42">
        <v>2021</v>
      </c>
      <c r="L2" s="42" t="s">
        <v>1</v>
      </c>
      <c r="M2" s="42">
        <v>2022</v>
      </c>
    </row>
    <row r="3" spans="1:13">
      <c r="A3" s="13" t="s">
        <v>38</v>
      </c>
      <c r="B3" s="13" t="s">
        <v>775</v>
      </c>
    </row>
    <row r="4" spans="1:13">
      <c r="A4" s="13" t="s">
        <v>38</v>
      </c>
      <c r="B4" s="13" t="s">
        <v>776</v>
      </c>
    </row>
    <row r="6" spans="1:13">
      <c r="A6" s="13" t="s">
        <v>19</v>
      </c>
      <c r="B6" s="13" t="s">
        <v>422</v>
      </c>
      <c r="C6" s="13" t="s">
        <v>829</v>
      </c>
      <c r="E6" s="57">
        <v>3135</v>
      </c>
      <c r="G6" s="57">
        <v>2397</v>
      </c>
      <c r="I6" s="57">
        <v>1216</v>
      </c>
      <c r="K6" s="57">
        <v>1627</v>
      </c>
      <c r="M6" s="57">
        <v>1758</v>
      </c>
    </row>
    <row r="7" spans="1:13">
      <c r="A7" s="13" t="s">
        <v>19</v>
      </c>
      <c r="B7" s="13" t="s">
        <v>422</v>
      </c>
      <c r="C7" s="13" t="s">
        <v>201</v>
      </c>
      <c r="E7" s="57">
        <v>9483</v>
      </c>
      <c r="G7" s="57">
        <v>12451</v>
      </c>
      <c r="I7" s="57">
        <v>14814</v>
      </c>
      <c r="K7" s="57">
        <v>21482</v>
      </c>
      <c r="M7" s="57">
        <v>7245</v>
      </c>
    </row>
    <row r="8" spans="1:13">
      <c r="A8" s="13" t="s">
        <v>19</v>
      </c>
      <c r="B8" s="13" t="s">
        <v>423</v>
      </c>
      <c r="C8" s="13" t="s">
        <v>829</v>
      </c>
      <c r="E8" s="57">
        <v>9609</v>
      </c>
      <c r="G8" s="57">
        <v>9529</v>
      </c>
      <c r="I8" s="57">
        <v>8994</v>
      </c>
      <c r="K8" s="57">
        <v>9676</v>
      </c>
      <c r="M8" s="57">
        <v>19770</v>
      </c>
    </row>
    <row r="9" spans="1:13">
      <c r="A9" s="13" t="s">
        <v>19</v>
      </c>
      <c r="B9" s="13" t="s">
        <v>423</v>
      </c>
      <c r="C9" s="13" t="s">
        <v>201</v>
      </c>
      <c r="E9" s="57">
        <v>247144</v>
      </c>
      <c r="G9" s="57">
        <v>215127</v>
      </c>
      <c r="I9" s="57">
        <v>318955</v>
      </c>
      <c r="K9" s="57">
        <v>199607</v>
      </c>
      <c r="M9" s="57">
        <v>326816</v>
      </c>
    </row>
    <row r="10" spans="1:13">
      <c r="A10" s="13" t="s">
        <v>19</v>
      </c>
      <c r="B10" s="13" t="s">
        <v>424</v>
      </c>
      <c r="C10" s="13" t="s">
        <v>829</v>
      </c>
      <c r="E10" s="57">
        <v>1846</v>
      </c>
      <c r="G10" s="57">
        <v>1937</v>
      </c>
      <c r="I10" s="57">
        <v>1721</v>
      </c>
      <c r="K10" s="57">
        <v>1873</v>
      </c>
      <c r="M10" s="57">
        <v>6846</v>
      </c>
    </row>
    <row r="11" spans="1:13">
      <c r="A11" s="13" t="s">
        <v>19</v>
      </c>
      <c r="B11" s="13" t="s">
        <v>424</v>
      </c>
      <c r="C11" s="13" t="s">
        <v>201</v>
      </c>
      <c r="E11" s="57">
        <v>7007</v>
      </c>
      <c r="G11" s="57">
        <v>8210</v>
      </c>
      <c r="I11" s="57">
        <v>8889</v>
      </c>
      <c r="K11" s="57">
        <v>8656</v>
      </c>
      <c r="M11" s="57">
        <v>27965</v>
      </c>
    </row>
    <row r="12" spans="1:13">
      <c r="A12" s="13" t="s">
        <v>19</v>
      </c>
      <c r="B12" s="13" t="s">
        <v>723</v>
      </c>
      <c r="C12" s="13" t="s">
        <v>829</v>
      </c>
      <c r="D12" s="13" t="s">
        <v>205</v>
      </c>
      <c r="E12" s="57">
        <v>19652</v>
      </c>
      <c r="F12" s="13" t="s">
        <v>205</v>
      </c>
      <c r="G12" s="57">
        <v>2100</v>
      </c>
      <c r="H12" s="13" t="s">
        <v>205</v>
      </c>
      <c r="I12" s="57">
        <v>2693</v>
      </c>
      <c r="J12" s="13" t="s">
        <v>205</v>
      </c>
      <c r="K12" s="57">
        <v>2013</v>
      </c>
      <c r="L12" s="13" t="s">
        <v>205</v>
      </c>
      <c r="M12" s="57">
        <v>1359</v>
      </c>
    </row>
    <row r="13" spans="1:13">
      <c r="A13" s="13" t="s">
        <v>19</v>
      </c>
      <c r="B13" s="13" t="s">
        <v>723</v>
      </c>
      <c r="C13" s="13" t="s">
        <v>201</v>
      </c>
      <c r="D13" s="13" t="s">
        <v>205</v>
      </c>
      <c r="E13" s="57">
        <v>315851</v>
      </c>
      <c r="F13" s="13" t="s">
        <v>205</v>
      </c>
      <c r="G13" s="57">
        <v>16954</v>
      </c>
      <c r="H13" s="13" t="s">
        <v>205</v>
      </c>
      <c r="I13" s="57">
        <v>25589</v>
      </c>
      <c r="J13" s="13" t="s">
        <v>205</v>
      </c>
      <c r="K13" s="57">
        <v>7605</v>
      </c>
      <c r="L13" s="13" t="s">
        <v>205</v>
      </c>
      <c r="M13" s="57">
        <v>4142</v>
      </c>
    </row>
    <row r="15" spans="1:13">
      <c r="A15" s="13" t="s">
        <v>20</v>
      </c>
      <c r="B15" s="13" t="s">
        <v>422</v>
      </c>
      <c r="C15" s="13" t="s">
        <v>829</v>
      </c>
      <c r="E15" s="57">
        <v>2856</v>
      </c>
      <c r="G15" s="57">
        <v>3176</v>
      </c>
      <c r="I15" s="57">
        <v>2756</v>
      </c>
      <c r="K15" s="57">
        <v>4387</v>
      </c>
      <c r="M15" s="57">
        <v>5000</v>
      </c>
    </row>
    <row r="16" spans="1:13">
      <c r="A16" s="13" t="s">
        <v>20</v>
      </c>
      <c r="B16" s="13" t="s">
        <v>422</v>
      </c>
      <c r="C16" s="13" t="s">
        <v>201</v>
      </c>
      <c r="E16" s="57">
        <v>25787</v>
      </c>
      <c r="G16" s="57">
        <v>30155</v>
      </c>
      <c r="I16" s="57">
        <v>42919</v>
      </c>
      <c r="K16" s="57">
        <v>72728</v>
      </c>
      <c r="M16" s="57">
        <v>72249</v>
      </c>
    </row>
    <row r="17" spans="1:13">
      <c r="A17" s="13" t="s">
        <v>20</v>
      </c>
      <c r="B17" s="13" t="s">
        <v>423</v>
      </c>
      <c r="C17" s="13" t="s">
        <v>829</v>
      </c>
      <c r="D17" s="13" t="s">
        <v>213</v>
      </c>
      <c r="E17" s="57">
        <v>25800</v>
      </c>
      <c r="F17" s="13" t="s">
        <v>213</v>
      </c>
      <c r="G17" s="57">
        <v>22900</v>
      </c>
      <c r="H17" s="13" t="s">
        <v>213</v>
      </c>
      <c r="I17" s="57">
        <v>19600</v>
      </c>
      <c r="J17" s="13" t="s">
        <v>213</v>
      </c>
      <c r="K17" s="57">
        <v>26000</v>
      </c>
      <c r="L17" s="13" t="s">
        <v>213</v>
      </c>
      <c r="M17" s="57">
        <v>33000</v>
      </c>
    </row>
    <row r="18" spans="1:13">
      <c r="A18" s="13" t="s">
        <v>20</v>
      </c>
      <c r="B18" s="13" t="s">
        <v>423</v>
      </c>
      <c r="C18" s="13" t="s">
        <v>201</v>
      </c>
      <c r="D18" s="13" t="s">
        <v>213</v>
      </c>
      <c r="E18" s="57">
        <v>195700</v>
      </c>
      <c r="F18" s="13" t="s">
        <v>213</v>
      </c>
      <c r="G18" s="57">
        <v>239500</v>
      </c>
      <c r="H18" s="13" t="s">
        <v>213</v>
      </c>
      <c r="I18" s="57">
        <v>151000</v>
      </c>
      <c r="J18" s="13" t="s">
        <v>213</v>
      </c>
      <c r="K18" s="57">
        <v>216000</v>
      </c>
      <c r="L18" s="13" t="s">
        <v>213</v>
      </c>
      <c r="M18" s="57">
        <v>186000</v>
      </c>
    </row>
    <row r="19" spans="1:13">
      <c r="A19" s="13" t="s">
        <v>20</v>
      </c>
      <c r="B19" s="13" t="s">
        <v>424</v>
      </c>
      <c r="C19" s="13" t="s">
        <v>829</v>
      </c>
      <c r="E19" s="57">
        <v>22495</v>
      </c>
      <c r="G19" s="57">
        <v>23549</v>
      </c>
      <c r="I19" s="57">
        <v>19477</v>
      </c>
      <c r="K19" s="57">
        <v>22941</v>
      </c>
      <c r="M19" s="57">
        <v>32023</v>
      </c>
    </row>
    <row r="20" spans="1:13">
      <c r="A20" s="13" t="s">
        <v>20</v>
      </c>
      <c r="B20" s="13" t="s">
        <v>424</v>
      </c>
      <c r="C20" s="13" t="s">
        <v>201</v>
      </c>
      <c r="E20" s="57">
        <v>126455</v>
      </c>
      <c r="G20" s="57">
        <v>141954</v>
      </c>
      <c r="I20" s="57">
        <v>121022</v>
      </c>
      <c r="K20" s="57">
        <v>120026</v>
      </c>
      <c r="M20" s="57">
        <v>117448</v>
      </c>
    </row>
    <row r="21" spans="1:13">
      <c r="A21" s="13" t="s">
        <v>20</v>
      </c>
      <c r="B21" s="13" t="s">
        <v>723</v>
      </c>
      <c r="C21" s="13" t="s">
        <v>829</v>
      </c>
      <c r="D21" s="13" t="s">
        <v>205</v>
      </c>
      <c r="E21" s="57">
        <v>2974</v>
      </c>
      <c r="F21" s="13" t="s">
        <v>205</v>
      </c>
      <c r="G21" s="57">
        <v>2190</v>
      </c>
      <c r="H21" s="13" t="s">
        <v>205</v>
      </c>
      <c r="I21" s="57">
        <v>2286</v>
      </c>
      <c r="J21" s="13" t="s">
        <v>205</v>
      </c>
      <c r="K21" s="57">
        <v>1319</v>
      </c>
      <c r="L21" s="13" t="s">
        <v>205</v>
      </c>
      <c r="M21" s="57">
        <v>2750</v>
      </c>
    </row>
    <row r="22" spans="1:13">
      <c r="A22" s="13" t="s">
        <v>20</v>
      </c>
      <c r="B22" s="13" t="s">
        <v>723</v>
      </c>
      <c r="C22" s="13" t="s">
        <v>201</v>
      </c>
      <c r="D22" s="13" t="s">
        <v>205</v>
      </c>
      <c r="E22" s="57">
        <v>193333</v>
      </c>
      <c r="F22" s="13" t="s">
        <v>205</v>
      </c>
      <c r="G22" s="57">
        <v>162027</v>
      </c>
      <c r="H22" s="13" t="s">
        <v>205</v>
      </c>
      <c r="I22" s="57">
        <v>154091</v>
      </c>
      <c r="J22" s="13" t="s">
        <v>205</v>
      </c>
      <c r="K22" s="57">
        <v>34956</v>
      </c>
      <c r="L22" s="13" t="s">
        <v>205</v>
      </c>
      <c r="M22" s="57">
        <v>103967</v>
      </c>
    </row>
    <row r="23" spans="1:13">
      <c r="A23" s="35"/>
      <c r="B23" s="35"/>
      <c r="C23" s="35"/>
      <c r="D23" s="35"/>
      <c r="E23" s="35"/>
      <c r="F23" s="35"/>
      <c r="G23" s="35"/>
      <c r="H23" s="35"/>
      <c r="I23" s="35"/>
      <c r="J23" s="35"/>
      <c r="K23" s="35"/>
      <c r="L23" s="35"/>
      <c r="M23" s="35"/>
    </row>
    <row r="25" spans="1:13">
      <c r="A25" s="13" t="s">
        <v>14</v>
      </c>
      <c r="B25" s="13" t="s">
        <v>15</v>
      </c>
    </row>
    <row r="26" spans="1:13">
      <c r="A26" s="13" t="s">
        <v>214</v>
      </c>
      <c r="B26" s="13" t="s">
        <v>701</v>
      </c>
    </row>
    <row r="27" spans="1:13">
      <c r="A27" s="13" t="s">
        <v>217</v>
      </c>
      <c r="B27" s="13" t="s">
        <v>702</v>
      </c>
    </row>
    <row r="30" spans="1:13">
      <c r="A30" s="46" t="str">
        <f>HYPERLINK("[UKMY 2023 PrintableV1.1 12_09_24.xlsx]Contents!A1","Return to contents page")</f>
        <v>Return to contents page</v>
      </c>
    </row>
    <row r="64" spans="5:5">
      <c r="E64" s="47"/>
    </row>
  </sheetData>
  <sortState xmlns:xlrd2="http://schemas.microsoft.com/office/spreadsheetml/2017/richdata2" ref="A6:M22">
    <sortCondition ref="A15:A22"/>
    <sortCondition ref="B15:B22"/>
  </sortState>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F86D-8B7C-4913-B163-3F472F4C3D96}">
  <dimension ref="A1:Q64"/>
  <sheetViews>
    <sheetView view="pageBreakPreview" zoomScaleNormal="100" zoomScaleSheetLayoutView="100" workbookViewId="0">
      <selection activeCell="K13" sqref="K13"/>
    </sheetView>
  </sheetViews>
  <sheetFormatPr defaultColWidth="9.1796875" defaultRowHeight="14"/>
  <cols>
    <col min="1" max="1" width="8.54296875" style="63" customWidth="1"/>
    <col min="2" max="2" width="2.1796875" style="13" bestFit="1" customWidth="1"/>
    <col min="3" max="3" width="9.453125" style="13" bestFit="1" customWidth="1"/>
    <col min="4" max="4" width="2.1796875" style="13" bestFit="1" customWidth="1"/>
    <col min="5" max="5" width="9.453125" style="13" bestFit="1" customWidth="1"/>
    <col min="6" max="6" width="2.1796875" style="13" bestFit="1" customWidth="1"/>
    <col min="7" max="7" width="9.453125" style="13" bestFit="1" customWidth="1"/>
    <col min="8" max="8" width="2.1796875" style="13" bestFit="1" customWidth="1"/>
    <col min="9" max="9" width="9.453125" style="13" bestFit="1" customWidth="1"/>
    <col min="10" max="10" width="3" style="13" bestFit="1" customWidth="1"/>
    <col min="11" max="11" width="9.453125" style="13" bestFit="1" customWidth="1"/>
    <col min="12" max="12" width="2.1796875" style="13" bestFit="1" customWidth="1"/>
    <col min="13" max="13" width="9.453125" style="13" bestFit="1" customWidth="1"/>
    <col min="14" max="14" width="2.1796875" style="13" bestFit="1" customWidth="1"/>
    <col min="15" max="15" width="6.54296875" style="13" bestFit="1" customWidth="1"/>
    <col min="16" max="16" width="2.1796875" style="13" bestFit="1" customWidth="1"/>
    <col min="17" max="17" width="16" style="13" bestFit="1" customWidth="1"/>
    <col min="18" max="16384" width="9.1796875" style="13"/>
  </cols>
  <sheetData>
    <row r="1" spans="1:17" ht="41.25" customHeight="1">
      <c r="A1" s="110" t="s">
        <v>838</v>
      </c>
      <c r="B1" s="110"/>
      <c r="C1" s="110"/>
      <c r="D1" s="110"/>
      <c r="E1" s="110"/>
      <c r="F1" s="110"/>
      <c r="G1" s="110"/>
      <c r="H1" s="110"/>
      <c r="I1" s="110"/>
      <c r="J1" s="110"/>
      <c r="K1" s="110"/>
      <c r="L1" s="110"/>
      <c r="M1" s="110"/>
      <c r="N1" s="110"/>
      <c r="O1" s="110"/>
      <c r="P1" s="110"/>
      <c r="Q1" s="41" t="s">
        <v>834</v>
      </c>
    </row>
    <row r="2" spans="1:17" s="37" customFormat="1" ht="75" customHeight="1">
      <c r="A2" s="62" t="s">
        <v>309</v>
      </c>
      <c r="B2" s="58" t="s">
        <v>1</v>
      </c>
      <c r="C2" s="67" t="s">
        <v>693</v>
      </c>
      <c r="D2" s="58" t="s">
        <v>1</v>
      </c>
      <c r="E2" s="67" t="s">
        <v>692</v>
      </c>
      <c r="F2" s="58" t="s">
        <v>1</v>
      </c>
      <c r="G2" s="67" t="s">
        <v>694</v>
      </c>
      <c r="H2" s="58" t="s">
        <v>1</v>
      </c>
      <c r="I2" s="67" t="s">
        <v>695</v>
      </c>
      <c r="J2" s="58" t="s">
        <v>1</v>
      </c>
      <c r="K2" s="67" t="s">
        <v>696</v>
      </c>
      <c r="L2" s="58" t="s">
        <v>1</v>
      </c>
      <c r="M2" s="67" t="s">
        <v>697</v>
      </c>
      <c r="N2" s="58" t="s">
        <v>1</v>
      </c>
      <c r="O2" s="67" t="s">
        <v>698</v>
      </c>
      <c r="P2" s="58" t="s">
        <v>1</v>
      </c>
      <c r="Q2" s="67" t="s">
        <v>699</v>
      </c>
    </row>
    <row r="3" spans="1:17">
      <c r="A3" s="63">
        <v>2022</v>
      </c>
      <c r="E3" s="13">
        <v>125.1</v>
      </c>
      <c r="O3" s="13">
        <v>282.60000000000002</v>
      </c>
    </row>
    <row r="4" spans="1:17">
      <c r="A4" s="63">
        <v>2021</v>
      </c>
      <c r="C4" s="13">
        <v>114</v>
      </c>
      <c r="E4" s="13">
        <v>134.5</v>
      </c>
      <c r="I4" s="13">
        <v>253</v>
      </c>
      <c r="O4" s="13">
        <v>319.3</v>
      </c>
    </row>
    <row r="5" spans="1:17">
      <c r="A5" s="63">
        <v>2020</v>
      </c>
      <c r="C5" s="13">
        <v>227</v>
      </c>
      <c r="E5" s="13">
        <v>124</v>
      </c>
      <c r="I5" s="13">
        <v>510</v>
      </c>
      <c r="O5" s="13">
        <v>316</v>
      </c>
    </row>
    <row r="6" spans="1:17">
      <c r="A6" s="63">
        <v>2019</v>
      </c>
      <c r="C6" s="13">
        <v>351</v>
      </c>
      <c r="E6" s="13">
        <v>142</v>
      </c>
      <c r="I6" s="13">
        <v>591</v>
      </c>
      <c r="O6" s="13">
        <v>400</v>
      </c>
    </row>
    <row r="7" spans="1:17">
      <c r="A7" s="63">
        <v>2018</v>
      </c>
      <c r="C7" s="13">
        <v>282</v>
      </c>
      <c r="E7" s="13">
        <v>145</v>
      </c>
      <c r="I7" s="13">
        <v>638</v>
      </c>
      <c r="O7" s="13">
        <v>335</v>
      </c>
    </row>
    <row r="8" spans="1:17">
      <c r="A8" s="64"/>
      <c r="B8" s="35"/>
      <c r="C8" s="35"/>
      <c r="D8" s="35"/>
      <c r="E8" s="35"/>
      <c r="F8" s="35"/>
      <c r="G8" s="35"/>
      <c r="H8" s="35"/>
      <c r="I8" s="35"/>
      <c r="J8" s="35"/>
      <c r="K8" s="35"/>
      <c r="L8" s="35"/>
      <c r="M8" s="35"/>
      <c r="N8" s="35"/>
      <c r="O8" s="35"/>
      <c r="P8" s="35"/>
      <c r="Q8" s="35"/>
    </row>
    <row r="10" spans="1:17" s="71" customFormat="1" ht="37.5" customHeight="1">
      <c r="A10" s="109" t="s">
        <v>847</v>
      </c>
      <c r="B10" s="109"/>
      <c r="C10" s="109"/>
      <c r="D10" s="109"/>
      <c r="E10" s="109"/>
      <c r="F10" s="109"/>
      <c r="G10" s="109"/>
      <c r="H10" s="109"/>
      <c r="I10" s="109"/>
      <c r="J10" s="109"/>
      <c r="K10" s="109"/>
      <c r="L10" s="109"/>
      <c r="M10" s="109"/>
      <c r="N10" s="109"/>
      <c r="O10" s="109"/>
      <c r="P10" s="109"/>
      <c r="Q10" s="109"/>
    </row>
    <row r="11" spans="1:17" ht="45.75" customHeight="1">
      <c r="A11" s="109" t="s">
        <v>797</v>
      </c>
      <c r="B11" s="109"/>
      <c r="C11" s="109"/>
      <c r="D11" s="109"/>
      <c r="E11" s="109"/>
      <c r="F11" s="109"/>
      <c r="G11" s="109"/>
      <c r="H11" s="109"/>
      <c r="I11" s="109"/>
      <c r="J11" s="109"/>
      <c r="K11" s="109"/>
      <c r="L11" s="109"/>
      <c r="M11" s="109"/>
      <c r="N11" s="109"/>
      <c r="O11" s="109"/>
      <c r="P11" s="109"/>
    </row>
    <row r="12" spans="1:17">
      <c r="A12" s="13" t="s">
        <v>406</v>
      </c>
    </row>
    <row r="15" spans="1:17">
      <c r="A15" s="65" t="str">
        <f>HYPERLINK("[UKMY 2023 PrintableV1.1 12_09_24.xlsx]Contents!A1","Return to contents page")</f>
        <v>Return to contents page</v>
      </c>
    </row>
    <row r="64" spans="5:5">
      <c r="E64" s="47"/>
    </row>
  </sheetData>
  <mergeCells count="3">
    <mergeCell ref="A10:Q10"/>
    <mergeCell ref="A11:P11"/>
    <mergeCell ref="A1:P1"/>
  </mergeCell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A957-C9C7-44B4-84CF-79943B1BC036}">
  <dimension ref="A1:M64"/>
  <sheetViews>
    <sheetView view="pageBreakPreview" zoomScaleNormal="100" zoomScaleSheetLayoutView="100" workbookViewId="0">
      <selection activeCell="A5" sqref="A5"/>
    </sheetView>
  </sheetViews>
  <sheetFormatPr defaultColWidth="9.1796875" defaultRowHeight="14"/>
  <cols>
    <col min="1" max="1" width="21.54296875" style="73" customWidth="1"/>
    <col min="2" max="2" width="26.26953125" style="73" bestFit="1" customWidth="1"/>
    <col min="3" max="3" width="15.26953125" style="73" bestFit="1" customWidth="1"/>
    <col min="4" max="4" width="2.1796875" style="73" bestFit="1" customWidth="1"/>
    <col min="5" max="5" width="7.26953125" style="73" bestFit="1" customWidth="1"/>
    <col min="6" max="6" width="2.1796875" style="73" bestFit="1" customWidth="1"/>
    <col min="7" max="7" width="6.1796875" style="73" bestFit="1" customWidth="1"/>
    <col min="8" max="8" width="2.1796875" style="73" bestFit="1" customWidth="1"/>
    <col min="9" max="9" width="6.1796875" style="73" bestFit="1" customWidth="1"/>
    <col min="10" max="10" width="2.1796875" style="73" bestFit="1" customWidth="1"/>
    <col min="11" max="11" width="7.26953125" style="73" bestFit="1" customWidth="1"/>
    <col min="12" max="12" width="2.1796875" style="73" bestFit="1" customWidth="1"/>
    <col min="13" max="13" width="8.453125" style="73" bestFit="1" customWidth="1"/>
    <col min="14" max="16384" width="9.1796875" style="73"/>
  </cols>
  <sheetData>
    <row r="1" spans="1:13" ht="15.5">
      <c r="A1" s="72" t="s">
        <v>425</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428</v>
      </c>
      <c r="C3" s="73" t="s">
        <v>201</v>
      </c>
    </row>
    <row r="5" spans="1:13">
      <c r="A5" s="73" t="s">
        <v>19</v>
      </c>
      <c r="B5" s="73" t="s">
        <v>426</v>
      </c>
      <c r="C5" s="73" t="s">
        <v>829</v>
      </c>
      <c r="E5" s="75">
        <v>18708</v>
      </c>
      <c r="G5" s="75">
        <v>9709</v>
      </c>
      <c r="I5" s="75">
        <v>6193</v>
      </c>
      <c r="K5" s="75">
        <v>12655</v>
      </c>
      <c r="M5" s="75">
        <v>106435</v>
      </c>
    </row>
    <row r="6" spans="1:13">
      <c r="A6" s="73" t="s">
        <v>19</v>
      </c>
      <c r="B6" s="73" t="s">
        <v>426</v>
      </c>
      <c r="C6" s="73" t="s">
        <v>201</v>
      </c>
      <c r="E6" s="75">
        <v>1680</v>
      </c>
      <c r="G6" s="75">
        <v>1648</v>
      </c>
      <c r="I6" s="75">
        <v>1508</v>
      </c>
      <c r="K6" s="75">
        <v>2019</v>
      </c>
      <c r="M6" s="75">
        <v>2883</v>
      </c>
    </row>
    <row r="7" spans="1:13">
      <c r="A7" s="73" t="s">
        <v>19</v>
      </c>
      <c r="B7" s="73" t="s">
        <v>427</v>
      </c>
      <c r="C7" s="73" t="s">
        <v>829</v>
      </c>
      <c r="E7" s="75">
        <v>5030</v>
      </c>
      <c r="G7" s="75">
        <v>5266</v>
      </c>
      <c r="I7" s="75">
        <v>2984</v>
      </c>
      <c r="K7" s="75">
        <v>5562</v>
      </c>
      <c r="M7" s="75">
        <v>32826</v>
      </c>
    </row>
    <row r="8" spans="1:13">
      <c r="A8" s="73" t="s">
        <v>19</v>
      </c>
      <c r="B8" s="73" t="s">
        <v>427</v>
      </c>
      <c r="C8" s="73" t="s">
        <v>201</v>
      </c>
      <c r="E8" s="73">
        <v>358</v>
      </c>
      <c r="G8" s="73">
        <v>552</v>
      </c>
      <c r="I8" s="73">
        <v>467</v>
      </c>
      <c r="K8" s="73">
        <v>698</v>
      </c>
      <c r="M8" s="75">
        <v>1069</v>
      </c>
    </row>
    <row r="10" spans="1:13">
      <c r="A10" s="73" t="s">
        <v>20</v>
      </c>
      <c r="B10" s="73" t="s">
        <v>426</v>
      </c>
      <c r="C10" s="73" t="s">
        <v>829</v>
      </c>
      <c r="E10" s="75">
        <v>10990</v>
      </c>
      <c r="G10" s="75">
        <v>5845</v>
      </c>
      <c r="I10" s="75">
        <v>3350</v>
      </c>
      <c r="K10" s="75">
        <v>11858</v>
      </c>
      <c r="M10" s="75">
        <v>62958</v>
      </c>
    </row>
    <row r="11" spans="1:13">
      <c r="A11" s="73" t="s">
        <v>20</v>
      </c>
      <c r="B11" s="73" t="s">
        <v>426</v>
      </c>
      <c r="C11" s="73" t="s">
        <v>201</v>
      </c>
      <c r="E11" s="73">
        <v>842</v>
      </c>
      <c r="G11" s="73">
        <v>645</v>
      </c>
      <c r="I11" s="73">
        <v>690</v>
      </c>
      <c r="K11" s="75">
        <v>1414</v>
      </c>
      <c r="M11" s="75">
        <v>1459</v>
      </c>
    </row>
    <row r="12" spans="1:13">
      <c r="A12" s="73" t="s">
        <v>20</v>
      </c>
      <c r="B12" s="73" t="s">
        <v>427</v>
      </c>
      <c r="C12" s="73" t="s">
        <v>829</v>
      </c>
      <c r="E12" s="75">
        <v>3521</v>
      </c>
      <c r="G12" s="75">
        <v>3961</v>
      </c>
      <c r="I12" s="75">
        <v>1958</v>
      </c>
      <c r="K12" s="75">
        <v>4592</v>
      </c>
      <c r="M12" s="75">
        <v>31792</v>
      </c>
    </row>
    <row r="13" spans="1:13">
      <c r="A13" s="73" t="s">
        <v>20</v>
      </c>
      <c r="B13" s="73" t="s">
        <v>427</v>
      </c>
      <c r="C13" s="73" t="s">
        <v>201</v>
      </c>
      <c r="E13" s="73">
        <v>195</v>
      </c>
      <c r="G13" s="73">
        <v>396</v>
      </c>
      <c r="I13" s="73">
        <v>282</v>
      </c>
      <c r="K13" s="73">
        <v>430</v>
      </c>
      <c r="M13" s="73">
        <v>686</v>
      </c>
    </row>
    <row r="14" spans="1:13">
      <c r="A14" s="76"/>
      <c r="B14" s="76"/>
      <c r="C14" s="76"/>
      <c r="D14" s="76"/>
      <c r="E14" s="76"/>
      <c r="F14" s="76"/>
      <c r="G14" s="76"/>
      <c r="H14" s="76"/>
      <c r="I14" s="76"/>
      <c r="J14" s="76"/>
      <c r="K14" s="76"/>
      <c r="L14" s="76"/>
      <c r="M14" s="76"/>
    </row>
    <row r="17" spans="1:1">
      <c r="A17" s="77" t="str">
        <f>HYPERLINK("[UKMY 2023 PrintableV1.1 12_09_24.xlsx]Contents!A1","Return to contents page")</f>
        <v>Return to contents page</v>
      </c>
    </row>
    <row r="64" spans="5:5">
      <c r="E64" s="78"/>
    </row>
  </sheetData>
  <sortState xmlns:xlrd2="http://schemas.microsoft.com/office/spreadsheetml/2017/richdata2" ref="A3:M13">
    <sortCondition ref="A10:A13"/>
    <sortCondition ref="B10:B13"/>
  </sortState>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6996-0DCA-4719-8525-2FDF3E2D06B5}">
  <dimension ref="A1:M64"/>
  <sheetViews>
    <sheetView view="pageBreakPreview" zoomScaleNormal="100" zoomScaleSheetLayoutView="100" workbookViewId="0">
      <selection activeCell="B36" sqref="B36"/>
    </sheetView>
  </sheetViews>
  <sheetFormatPr defaultColWidth="9.1796875" defaultRowHeight="14"/>
  <cols>
    <col min="1" max="1" width="11" style="73" customWidth="1"/>
    <col min="2" max="2" width="35.453125" style="79" bestFit="1" customWidth="1"/>
    <col min="3" max="3" width="15.26953125" style="73" bestFit="1" customWidth="1"/>
    <col min="4" max="4" width="5.453125" style="73" bestFit="1" customWidth="1"/>
    <col min="5" max="5" width="8.453125" style="73" bestFit="1" customWidth="1"/>
    <col min="6" max="6" width="5.453125" style="73" bestFit="1" customWidth="1"/>
    <col min="7" max="7" width="8.453125" style="73" bestFit="1" customWidth="1"/>
    <col min="8" max="8" width="5.453125" style="73" bestFit="1" customWidth="1"/>
    <col min="9" max="9" width="8.453125" style="73" bestFit="1" customWidth="1"/>
    <col min="10" max="10" width="5.453125" style="73" bestFit="1" customWidth="1"/>
    <col min="11" max="11" width="8.453125" style="73" bestFit="1" customWidth="1"/>
    <col min="12" max="12" width="5.453125" style="73" bestFit="1" customWidth="1"/>
    <col min="13" max="13" width="8.453125" style="73" bestFit="1" customWidth="1"/>
    <col min="14" max="16384" width="9.1796875" style="73"/>
  </cols>
  <sheetData>
    <row r="1" spans="1:13" ht="15.5">
      <c r="A1" s="72" t="s">
        <v>429</v>
      </c>
    </row>
    <row r="2" spans="1:13">
      <c r="A2" s="74" t="s">
        <v>670</v>
      </c>
      <c r="B2" s="80" t="s">
        <v>0</v>
      </c>
      <c r="C2" s="74" t="s">
        <v>669</v>
      </c>
      <c r="D2" s="74" t="s">
        <v>1</v>
      </c>
      <c r="E2" s="74">
        <v>2018</v>
      </c>
      <c r="F2" s="74" t="s">
        <v>1</v>
      </c>
      <c r="G2" s="74">
        <v>2019</v>
      </c>
      <c r="H2" s="74" t="s">
        <v>1</v>
      </c>
      <c r="I2" s="74">
        <v>2020</v>
      </c>
      <c r="J2" s="74" t="s">
        <v>1</v>
      </c>
      <c r="K2" s="74">
        <v>2021</v>
      </c>
      <c r="L2" s="74" t="s">
        <v>1</v>
      </c>
      <c r="M2" s="74">
        <v>2022</v>
      </c>
    </row>
    <row r="3" spans="1:13">
      <c r="A3" s="73" t="s">
        <v>19</v>
      </c>
      <c r="B3" s="79" t="s">
        <v>430</v>
      </c>
      <c r="C3" s="73" t="s">
        <v>829</v>
      </c>
      <c r="E3" s="75">
        <v>9609</v>
      </c>
      <c r="G3" s="75">
        <v>9529</v>
      </c>
      <c r="I3" s="75">
        <v>8994</v>
      </c>
      <c r="K3" s="75">
        <v>9676</v>
      </c>
      <c r="M3" s="75">
        <v>19770</v>
      </c>
    </row>
    <row r="4" spans="1:13">
      <c r="A4" s="73" t="s">
        <v>19</v>
      </c>
      <c r="B4" s="79" t="s">
        <v>430</v>
      </c>
      <c r="C4" s="73" t="s">
        <v>201</v>
      </c>
      <c r="E4" s="75">
        <v>247144</v>
      </c>
      <c r="G4" s="75">
        <v>215127</v>
      </c>
      <c r="I4" s="75">
        <v>318955</v>
      </c>
      <c r="K4" s="75">
        <v>199607</v>
      </c>
      <c r="M4" s="75">
        <v>326816</v>
      </c>
    </row>
    <row r="5" spans="1:13">
      <c r="A5" s="73" t="s">
        <v>19</v>
      </c>
      <c r="B5" s="79" t="s">
        <v>431</v>
      </c>
      <c r="C5" s="73" t="s">
        <v>829</v>
      </c>
      <c r="E5" s="75">
        <v>3081</v>
      </c>
      <c r="G5" s="75">
        <v>1841</v>
      </c>
      <c r="I5" s="75">
        <v>1559</v>
      </c>
      <c r="K5" s="75">
        <v>1171</v>
      </c>
      <c r="M5" s="75">
        <v>3655</v>
      </c>
    </row>
    <row r="6" spans="1:13">
      <c r="A6" s="73" t="s">
        <v>19</v>
      </c>
      <c r="B6" s="79" t="s">
        <v>431</v>
      </c>
      <c r="C6" s="73" t="s">
        <v>201</v>
      </c>
      <c r="E6" s="75">
        <v>14723</v>
      </c>
      <c r="G6" s="75">
        <v>8674</v>
      </c>
      <c r="I6" s="75">
        <v>8217</v>
      </c>
      <c r="K6" s="75">
        <v>5058</v>
      </c>
      <c r="M6" s="75">
        <v>16229</v>
      </c>
    </row>
    <row r="7" spans="1:13" ht="28">
      <c r="A7" s="73" t="s">
        <v>19</v>
      </c>
      <c r="B7" s="79" t="s">
        <v>747</v>
      </c>
      <c r="C7" s="73" t="s">
        <v>829</v>
      </c>
      <c r="E7" s="75">
        <v>8503</v>
      </c>
      <c r="G7" s="75">
        <v>8899</v>
      </c>
      <c r="I7" s="75">
        <v>6673</v>
      </c>
      <c r="K7" s="75">
        <v>5692</v>
      </c>
      <c r="M7" s="75">
        <v>16235</v>
      </c>
    </row>
    <row r="8" spans="1:13" ht="28">
      <c r="A8" s="73" t="s">
        <v>19</v>
      </c>
      <c r="B8" s="79" t="s">
        <v>747</v>
      </c>
      <c r="C8" s="73" t="s">
        <v>201</v>
      </c>
      <c r="E8" s="75">
        <v>22953</v>
      </c>
      <c r="G8" s="75">
        <v>26717</v>
      </c>
      <c r="I8" s="75">
        <v>20260</v>
      </c>
      <c r="K8" s="75">
        <v>19077</v>
      </c>
      <c r="M8" s="75">
        <v>34174</v>
      </c>
    </row>
    <row r="9" spans="1:13">
      <c r="A9" s="73" t="s">
        <v>19</v>
      </c>
      <c r="B9" s="79" t="s">
        <v>748</v>
      </c>
      <c r="C9" s="73" t="s">
        <v>829</v>
      </c>
      <c r="E9" s="75">
        <v>4384</v>
      </c>
      <c r="G9" s="75">
        <v>4604</v>
      </c>
      <c r="I9" s="75">
        <v>3209</v>
      </c>
      <c r="K9" s="75">
        <v>4237</v>
      </c>
      <c r="M9" s="75">
        <v>5065</v>
      </c>
    </row>
    <row r="10" spans="1:13">
      <c r="A10" s="73" t="s">
        <v>19</v>
      </c>
      <c r="B10" s="79" t="s">
        <v>748</v>
      </c>
      <c r="C10" s="73" t="s">
        <v>201</v>
      </c>
      <c r="E10" s="75">
        <v>8475</v>
      </c>
      <c r="G10" s="75">
        <v>7760</v>
      </c>
      <c r="I10" s="75">
        <v>5974</v>
      </c>
      <c r="K10" s="75">
        <v>7574</v>
      </c>
      <c r="M10" s="75">
        <v>6518</v>
      </c>
    </row>
    <row r="11" spans="1:13">
      <c r="A11" s="73" t="s">
        <v>19</v>
      </c>
      <c r="B11" s="79" t="s">
        <v>749</v>
      </c>
      <c r="C11" s="73" t="s">
        <v>829</v>
      </c>
      <c r="E11" s="75">
        <v>4995</v>
      </c>
      <c r="G11" s="75">
        <v>6571</v>
      </c>
      <c r="I11" s="75">
        <v>4313</v>
      </c>
      <c r="K11" s="75">
        <v>7026</v>
      </c>
      <c r="M11" s="75">
        <v>5507</v>
      </c>
    </row>
    <row r="12" spans="1:13">
      <c r="A12" s="73" t="s">
        <v>19</v>
      </c>
      <c r="B12" s="79" t="s">
        <v>749</v>
      </c>
      <c r="C12" s="73" t="s">
        <v>201</v>
      </c>
      <c r="E12" s="75">
        <v>7046</v>
      </c>
      <c r="G12" s="75">
        <v>7556</v>
      </c>
      <c r="I12" s="75">
        <v>9314</v>
      </c>
      <c r="K12" s="75">
        <v>17752</v>
      </c>
      <c r="M12" s="75">
        <v>10349</v>
      </c>
    </row>
    <row r="13" spans="1:13" ht="42">
      <c r="A13" s="73" t="s">
        <v>19</v>
      </c>
      <c r="B13" s="79" t="s">
        <v>724</v>
      </c>
      <c r="C13" s="73" t="s">
        <v>829</v>
      </c>
      <c r="D13" s="73" t="s">
        <v>327</v>
      </c>
      <c r="E13" s="75">
        <v>16697</v>
      </c>
      <c r="F13" s="73" t="s">
        <v>327</v>
      </c>
      <c r="G13" s="75">
        <v>17772</v>
      </c>
      <c r="H13" s="73" t="s">
        <v>327</v>
      </c>
      <c r="I13" s="75">
        <v>15139</v>
      </c>
      <c r="J13" s="73" t="s">
        <v>327</v>
      </c>
      <c r="K13" s="75">
        <v>13165</v>
      </c>
      <c r="L13" s="73" t="s">
        <v>327</v>
      </c>
      <c r="M13" s="75">
        <v>20830</v>
      </c>
    </row>
    <row r="14" spans="1:13" ht="42">
      <c r="A14" s="73" t="s">
        <v>19</v>
      </c>
      <c r="B14" s="79" t="s">
        <v>724</v>
      </c>
      <c r="C14" s="73" t="s">
        <v>201</v>
      </c>
      <c r="D14" s="73" t="s">
        <v>327</v>
      </c>
      <c r="E14" s="75">
        <v>18089</v>
      </c>
      <c r="F14" s="73" t="s">
        <v>327</v>
      </c>
      <c r="G14" s="75">
        <v>29893</v>
      </c>
      <c r="H14" s="73" t="s">
        <v>327</v>
      </c>
      <c r="I14" s="75">
        <v>17392</v>
      </c>
      <c r="J14" s="73" t="s">
        <v>327</v>
      </c>
      <c r="K14" s="75">
        <v>19387</v>
      </c>
      <c r="L14" s="73" t="s">
        <v>327</v>
      </c>
      <c r="M14" s="75">
        <v>19168</v>
      </c>
    </row>
    <row r="15" spans="1:13">
      <c r="A15" s="73" t="s">
        <v>19</v>
      </c>
      <c r="B15" s="79" t="s">
        <v>432</v>
      </c>
      <c r="C15" s="73" t="s">
        <v>829</v>
      </c>
      <c r="E15" s="73">
        <v>775</v>
      </c>
      <c r="G15" s="75">
        <v>1566</v>
      </c>
      <c r="I15" s="75">
        <v>1351</v>
      </c>
      <c r="K15" s="75">
        <v>1483</v>
      </c>
      <c r="M15" s="75">
        <v>1693</v>
      </c>
    </row>
    <row r="16" spans="1:13">
      <c r="A16" s="73" t="s">
        <v>19</v>
      </c>
      <c r="B16" s="79" t="s">
        <v>432</v>
      </c>
      <c r="C16" s="73" t="s">
        <v>201</v>
      </c>
      <c r="E16" s="75">
        <v>2201</v>
      </c>
      <c r="G16" s="75">
        <v>6065</v>
      </c>
      <c r="I16" s="75">
        <v>5948</v>
      </c>
      <c r="K16" s="75">
        <v>6324</v>
      </c>
      <c r="M16" s="75">
        <v>6316</v>
      </c>
    </row>
    <row r="18" spans="1:13">
      <c r="A18" s="73" t="s">
        <v>20</v>
      </c>
      <c r="B18" s="79" t="s">
        <v>430</v>
      </c>
      <c r="C18" s="73" t="s">
        <v>829</v>
      </c>
      <c r="E18" s="73">
        <v>0</v>
      </c>
      <c r="G18" s="73">
        <v>194</v>
      </c>
      <c r="I18" s="73">
        <v>71</v>
      </c>
      <c r="K18" s="73">
        <v>0</v>
      </c>
    </row>
    <row r="19" spans="1:13">
      <c r="A19" s="73" t="s">
        <v>20</v>
      </c>
      <c r="B19" s="79" t="s">
        <v>430</v>
      </c>
      <c r="C19" s="73" t="s">
        <v>201</v>
      </c>
      <c r="E19" s="73">
        <v>0</v>
      </c>
      <c r="G19" s="75">
        <v>1400</v>
      </c>
      <c r="I19" s="73">
        <v>86</v>
      </c>
      <c r="K19" s="73">
        <v>0</v>
      </c>
    </row>
    <row r="20" spans="1:13">
      <c r="A20" s="73" t="s">
        <v>20</v>
      </c>
      <c r="B20" s="79" t="s">
        <v>431</v>
      </c>
      <c r="C20" s="73" t="s">
        <v>829</v>
      </c>
      <c r="E20" s="73">
        <v>15</v>
      </c>
      <c r="G20" s="73">
        <v>20</v>
      </c>
      <c r="I20" s="73">
        <v>29</v>
      </c>
      <c r="K20" s="73">
        <v>19</v>
      </c>
      <c r="M20" s="73">
        <v>16</v>
      </c>
    </row>
    <row r="21" spans="1:13">
      <c r="A21" s="73" t="s">
        <v>20</v>
      </c>
      <c r="B21" s="79" t="s">
        <v>431</v>
      </c>
      <c r="C21" s="73" t="s">
        <v>201</v>
      </c>
      <c r="E21" s="73">
        <v>40</v>
      </c>
      <c r="G21" s="73">
        <v>50</v>
      </c>
      <c r="I21" s="73">
        <v>43</v>
      </c>
      <c r="K21" s="73">
        <v>38</v>
      </c>
      <c r="M21" s="73">
        <v>15</v>
      </c>
    </row>
    <row r="22" spans="1:13" ht="28">
      <c r="A22" s="73" t="s">
        <v>20</v>
      </c>
      <c r="B22" s="79" t="s">
        <v>747</v>
      </c>
      <c r="C22" s="73" t="s">
        <v>829</v>
      </c>
      <c r="E22" s="73">
        <v>801</v>
      </c>
      <c r="G22" s="75">
        <v>1003</v>
      </c>
      <c r="I22" s="75">
        <v>1174</v>
      </c>
      <c r="K22" s="73">
        <v>436</v>
      </c>
      <c r="M22" s="73">
        <v>932</v>
      </c>
    </row>
    <row r="23" spans="1:13" ht="28">
      <c r="A23" s="73" t="s">
        <v>20</v>
      </c>
      <c r="B23" s="79" t="s">
        <v>747</v>
      </c>
      <c r="C23" s="73" t="s">
        <v>201</v>
      </c>
      <c r="E23" s="75">
        <v>3214</v>
      </c>
      <c r="G23" s="75">
        <v>3376</v>
      </c>
      <c r="I23" s="75">
        <v>4575</v>
      </c>
      <c r="K23" s="75">
        <v>1416</v>
      </c>
      <c r="M23" s="75">
        <v>1777</v>
      </c>
    </row>
    <row r="24" spans="1:13">
      <c r="A24" s="73" t="s">
        <v>20</v>
      </c>
      <c r="B24" s="79" t="s">
        <v>748</v>
      </c>
      <c r="C24" s="73" t="s">
        <v>829</v>
      </c>
      <c r="E24" s="75">
        <v>1461</v>
      </c>
      <c r="G24" s="75">
        <v>1879</v>
      </c>
      <c r="I24" s="73">
        <v>719</v>
      </c>
      <c r="K24" s="73">
        <v>754</v>
      </c>
      <c r="M24" s="73">
        <v>785</v>
      </c>
    </row>
    <row r="25" spans="1:13">
      <c r="A25" s="73" t="s">
        <v>20</v>
      </c>
      <c r="B25" s="79" t="s">
        <v>700</v>
      </c>
      <c r="C25" s="73" t="s">
        <v>201</v>
      </c>
      <c r="E25" s="75">
        <v>1463</v>
      </c>
      <c r="G25" s="75">
        <v>2117</v>
      </c>
      <c r="I25" s="73">
        <v>835</v>
      </c>
      <c r="K25" s="73">
        <v>910</v>
      </c>
      <c r="M25" s="73">
        <v>679</v>
      </c>
    </row>
    <row r="26" spans="1:13">
      <c r="A26" s="73" t="s">
        <v>20</v>
      </c>
      <c r="B26" s="79" t="s">
        <v>749</v>
      </c>
      <c r="C26" s="73" t="s">
        <v>829</v>
      </c>
      <c r="E26" s="75">
        <v>11097</v>
      </c>
      <c r="G26" s="75">
        <v>12252</v>
      </c>
      <c r="I26" s="75">
        <v>9932</v>
      </c>
      <c r="K26" s="75">
        <v>14136</v>
      </c>
      <c r="M26" s="75">
        <v>16411</v>
      </c>
    </row>
    <row r="27" spans="1:13">
      <c r="A27" s="73" t="s">
        <v>20</v>
      </c>
      <c r="B27" s="79" t="s">
        <v>749</v>
      </c>
      <c r="C27" s="73" t="s">
        <v>201</v>
      </c>
      <c r="E27" s="75">
        <v>7585</v>
      </c>
      <c r="G27" s="75">
        <v>7311</v>
      </c>
      <c r="I27" s="75">
        <v>6085</v>
      </c>
      <c r="K27" s="75">
        <v>8202</v>
      </c>
      <c r="M27" s="75">
        <v>7840</v>
      </c>
    </row>
    <row r="28" spans="1:13" ht="42">
      <c r="A28" s="73" t="s">
        <v>20</v>
      </c>
      <c r="B28" s="79" t="s">
        <v>724</v>
      </c>
      <c r="C28" s="73" t="s">
        <v>829</v>
      </c>
      <c r="D28" s="73" t="s">
        <v>327</v>
      </c>
      <c r="E28" s="75">
        <v>2811</v>
      </c>
      <c r="F28" s="73" t="s">
        <v>327</v>
      </c>
      <c r="G28" s="75">
        <v>3781</v>
      </c>
      <c r="H28" s="73" t="s">
        <v>327</v>
      </c>
      <c r="I28" s="75">
        <v>1769</v>
      </c>
      <c r="J28" s="73" t="s">
        <v>327</v>
      </c>
      <c r="K28" s="75">
        <v>1328</v>
      </c>
      <c r="L28" s="73" t="s">
        <v>327</v>
      </c>
      <c r="M28" s="75">
        <v>1618</v>
      </c>
    </row>
    <row r="29" spans="1:13" ht="42">
      <c r="A29" s="73" t="s">
        <v>20</v>
      </c>
      <c r="B29" s="79" t="s">
        <v>724</v>
      </c>
      <c r="C29" s="73" t="s">
        <v>201</v>
      </c>
      <c r="D29" s="73" t="s">
        <v>327</v>
      </c>
      <c r="E29" s="75">
        <v>5686</v>
      </c>
      <c r="F29" s="73" t="s">
        <v>327</v>
      </c>
      <c r="G29" s="75">
        <v>5448</v>
      </c>
      <c r="H29" s="73" t="s">
        <v>327</v>
      </c>
      <c r="I29" s="75">
        <v>3260</v>
      </c>
      <c r="J29" s="73" t="s">
        <v>327</v>
      </c>
      <c r="K29" s="75">
        <v>3398</v>
      </c>
      <c r="L29" s="73" t="s">
        <v>327</v>
      </c>
      <c r="M29" s="75">
        <v>5103</v>
      </c>
    </row>
    <row r="30" spans="1:13">
      <c r="A30" s="73" t="s">
        <v>20</v>
      </c>
      <c r="B30" s="79" t="s">
        <v>432</v>
      </c>
      <c r="C30" s="73" t="s">
        <v>829</v>
      </c>
      <c r="E30" s="73">
        <v>518</v>
      </c>
      <c r="G30" s="73">
        <v>716</v>
      </c>
      <c r="I30" s="73">
        <v>563</v>
      </c>
      <c r="K30" s="73">
        <v>510</v>
      </c>
      <c r="M30" s="73">
        <v>432</v>
      </c>
    </row>
    <row r="31" spans="1:13">
      <c r="A31" s="73" t="s">
        <v>20</v>
      </c>
      <c r="B31" s="79" t="s">
        <v>432</v>
      </c>
      <c r="C31" s="73" t="s">
        <v>201</v>
      </c>
      <c r="E31" s="73">
        <v>315</v>
      </c>
      <c r="G31" s="73">
        <v>281</v>
      </c>
      <c r="I31" s="73">
        <v>90</v>
      </c>
      <c r="K31" s="75">
        <v>1020</v>
      </c>
      <c r="M31" s="73">
        <v>37</v>
      </c>
    </row>
    <row r="32" spans="1:13">
      <c r="A32" s="76"/>
      <c r="B32" s="81"/>
      <c r="C32" s="76"/>
      <c r="D32" s="76"/>
      <c r="E32" s="76"/>
      <c r="F32" s="76"/>
      <c r="G32" s="76"/>
      <c r="H32" s="76"/>
      <c r="I32" s="76"/>
      <c r="J32" s="76"/>
      <c r="K32" s="82"/>
      <c r="L32" s="76"/>
      <c r="M32" s="76"/>
    </row>
    <row r="34" spans="1:12">
      <c r="A34" s="73" t="s">
        <v>14</v>
      </c>
      <c r="B34" s="79" t="s">
        <v>15</v>
      </c>
    </row>
    <row r="35" spans="1:12">
      <c r="A35" s="73" t="s">
        <v>214</v>
      </c>
      <c r="B35" s="111" t="s">
        <v>433</v>
      </c>
      <c r="C35" s="111"/>
      <c r="D35" s="111"/>
      <c r="E35" s="111"/>
      <c r="F35" s="111"/>
      <c r="G35" s="111"/>
      <c r="H35" s="111"/>
      <c r="I35" s="111"/>
      <c r="J35" s="111"/>
      <c r="K35" s="111"/>
      <c r="L35" s="111"/>
    </row>
    <row r="36" spans="1:12">
      <c r="A36" s="73" t="s">
        <v>215</v>
      </c>
      <c r="B36" s="79" t="s">
        <v>434</v>
      </c>
    </row>
    <row r="39" spans="1:12">
      <c r="A39" s="77" t="str">
        <f>HYPERLINK("[UKMY 2023 PrintableV1.1 12_09_24.xlsx]Contents!A1","Return to contents page")</f>
        <v>Return to contents page</v>
      </c>
    </row>
    <row r="64" spans="5:5">
      <c r="E64" s="78"/>
    </row>
  </sheetData>
  <sortState xmlns:xlrd2="http://schemas.microsoft.com/office/spreadsheetml/2017/richdata2" ref="A3:M31">
    <sortCondition ref="A18:A31"/>
    <sortCondition ref="B18:B31"/>
  </sortState>
  <mergeCells count="1">
    <mergeCell ref="B35:L35"/>
  </mergeCell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10E8F-17FD-4A70-A94A-FFF947C74839}">
  <dimension ref="A1:M64"/>
  <sheetViews>
    <sheetView view="pageBreakPreview" zoomScaleNormal="100" zoomScaleSheetLayoutView="100" workbookViewId="0">
      <selection activeCell="A8" sqref="A8"/>
    </sheetView>
  </sheetViews>
  <sheetFormatPr defaultColWidth="9.1796875" defaultRowHeight="14"/>
  <cols>
    <col min="1" max="1" width="17.453125" style="73" customWidth="1"/>
    <col min="2" max="2" width="49.26953125" style="73" bestFit="1" customWidth="1"/>
    <col min="3" max="3" width="15.26953125" style="73" bestFit="1" customWidth="1"/>
    <col min="4" max="4" width="2.1796875" style="73" bestFit="1" customWidth="1"/>
    <col min="5" max="5" width="7.26953125" style="73" bestFit="1" customWidth="1"/>
    <col min="6" max="6" width="2.1796875" style="73" bestFit="1" customWidth="1"/>
    <col min="7" max="7" width="7.26953125" style="73" bestFit="1" customWidth="1"/>
    <col min="8" max="8" width="2.1796875" style="73" bestFit="1" customWidth="1"/>
    <col min="9" max="9" width="7.26953125" style="73" bestFit="1" customWidth="1"/>
    <col min="10" max="10" width="2.1796875"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435</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436</v>
      </c>
      <c r="C3" s="73" t="s">
        <v>829</v>
      </c>
      <c r="E3" s="73">
        <v>326</v>
      </c>
      <c r="G3" s="73">
        <v>407</v>
      </c>
      <c r="I3" s="73">
        <v>836</v>
      </c>
      <c r="K3" s="73">
        <v>288</v>
      </c>
      <c r="M3" s="73">
        <v>201</v>
      </c>
    </row>
    <row r="4" spans="1:13">
      <c r="A4" s="73" t="s">
        <v>19</v>
      </c>
      <c r="B4" s="73" t="s">
        <v>436</v>
      </c>
      <c r="C4" s="73" t="s">
        <v>201</v>
      </c>
      <c r="E4" s="73">
        <v>457</v>
      </c>
      <c r="G4" s="73">
        <v>376</v>
      </c>
      <c r="I4" s="73">
        <v>638</v>
      </c>
      <c r="K4" s="73">
        <v>217</v>
      </c>
      <c r="M4" s="73">
        <v>101</v>
      </c>
    </row>
    <row r="5" spans="1:13">
      <c r="A5" s="73" t="s">
        <v>19</v>
      </c>
      <c r="B5" s="73" t="s">
        <v>437</v>
      </c>
      <c r="C5" s="73" t="s">
        <v>829</v>
      </c>
      <c r="E5" s="73">
        <v>102</v>
      </c>
      <c r="G5" s="73">
        <v>54</v>
      </c>
      <c r="I5" s="73">
        <v>60</v>
      </c>
      <c r="K5" s="73">
        <v>245</v>
      </c>
      <c r="M5" s="73">
        <v>75</v>
      </c>
    </row>
    <row r="6" spans="1:13">
      <c r="A6" s="73" t="s">
        <v>19</v>
      </c>
      <c r="B6" s="73" t="s">
        <v>437</v>
      </c>
      <c r="C6" s="73" t="s">
        <v>201</v>
      </c>
      <c r="E6" s="73">
        <v>129</v>
      </c>
      <c r="G6" s="73">
        <v>25</v>
      </c>
      <c r="I6" s="73">
        <v>43</v>
      </c>
      <c r="K6" s="73">
        <v>136</v>
      </c>
      <c r="M6" s="73">
        <v>28</v>
      </c>
    </row>
    <row r="7" spans="1:13">
      <c r="A7" s="73" t="s">
        <v>19</v>
      </c>
      <c r="B7" s="73" t="s">
        <v>438</v>
      </c>
      <c r="C7" s="73" t="s">
        <v>829</v>
      </c>
      <c r="E7" s="75">
        <v>3116</v>
      </c>
      <c r="G7" s="73">
        <v>786</v>
      </c>
      <c r="I7" s="73">
        <v>653</v>
      </c>
      <c r="K7" s="73">
        <v>323</v>
      </c>
      <c r="M7" s="75">
        <v>1305</v>
      </c>
    </row>
    <row r="8" spans="1:13">
      <c r="A8" s="73" t="s">
        <v>19</v>
      </c>
      <c r="B8" s="73" t="s">
        <v>438</v>
      </c>
      <c r="C8" s="73" t="s">
        <v>201</v>
      </c>
      <c r="E8" s="75">
        <v>1397</v>
      </c>
      <c r="G8" s="73">
        <v>291</v>
      </c>
      <c r="I8" s="73">
        <v>404</v>
      </c>
      <c r="K8" s="73">
        <v>132</v>
      </c>
      <c r="M8" s="73">
        <v>154</v>
      </c>
    </row>
    <row r="9" spans="1:13">
      <c r="A9" s="73" t="s">
        <v>19</v>
      </c>
      <c r="B9" s="73" t="s">
        <v>439</v>
      </c>
      <c r="C9" s="73" t="s">
        <v>829</v>
      </c>
      <c r="E9" s="75">
        <v>6490</v>
      </c>
      <c r="G9" s="75">
        <v>5306</v>
      </c>
      <c r="I9" s="75">
        <v>3644</v>
      </c>
      <c r="K9" s="75">
        <v>5001</v>
      </c>
      <c r="M9" s="75">
        <v>13573</v>
      </c>
    </row>
    <row r="10" spans="1:13">
      <c r="A10" s="73" t="s">
        <v>19</v>
      </c>
      <c r="B10" s="73" t="s">
        <v>439</v>
      </c>
      <c r="C10" s="73" t="s">
        <v>201</v>
      </c>
      <c r="E10" s="75">
        <v>3404</v>
      </c>
      <c r="G10" s="75">
        <v>2571</v>
      </c>
      <c r="I10" s="75">
        <v>2118</v>
      </c>
      <c r="K10" s="75">
        <v>2307</v>
      </c>
      <c r="M10" s="75">
        <v>2574</v>
      </c>
    </row>
    <row r="11" spans="1:13">
      <c r="A11" s="73" t="s">
        <v>19</v>
      </c>
      <c r="B11" s="73" t="s">
        <v>440</v>
      </c>
      <c r="C11" s="73" t="s">
        <v>829</v>
      </c>
      <c r="E11" s="75">
        <v>21827</v>
      </c>
      <c r="G11" s="75">
        <v>19484</v>
      </c>
      <c r="I11" s="75">
        <v>14619</v>
      </c>
      <c r="K11" s="75">
        <v>19874</v>
      </c>
      <c r="M11" s="75">
        <v>34176</v>
      </c>
    </row>
    <row r="12" spans="1:13">
      <c r="A12" s="73" t="s">
        <v>19</v>
      </c>
      <c r="B12" s="73" t="s">
        <v>440</v>
      </c>
      <c r="C12" s="73" t="s">
        <v>201</v>
      </c>
      <c r="E12" s="75">
        <v>4989</v>
      </c>
      <c r="G12" s="75">
        <v>3704</v>
      </c>
      <c r="I12" s="75">
        <v>2846</v>
      </c>
      <c r="K12" s="75">
        <v>3383</v>
      </c>
      <c r="M12" s="75">
        <v>4113</v>
      </c>
    </row>
    <row r="14" spans="1:13">
      <c r="A14" s="73" t="s">
        <v>20</v>
      </c>
      <c r="B14" s="73" t="s">
        <v>436</v>
      </c>
      <c r="C14" s="73" t="s">
        <v>829</v>
      </c>
      <c r="E14" s="73">
        <v>106</v>
      </c>
      <c r="G14" s="73">
        <v>112</v>
      </c>
      <c r="I14" s="73">
        <v>96</v>
      </c>
      <c r="K14" s="73">
        <v>74</v>
      </c>
      <c r="M14" s="73">
        <v>111</v>
      </c>
    </row>
    <row r="15" spans="1:13">
      <c r="A15" s="73" t="s">
        <v>20</v>
      </c>
      <c r="B15" s="73" t="s">
        <v>436</v>
      </c>
      <c r="C15" s="73" t="s">
        <v>201</v>
      </c>
      <c r="E15" s="73">
        <v>72</v>
      </c>
      <c r="G15" s="73">
        <v>83</v>
      </c>
      <c r="I15" s="73">
        <v>78</v>
      </c>
      <c r="K15" s="73">
        <v>56</v>
      </c>
      <c r="M15" s="73">
        <v>52</v>
      </c>
    </row>
    <row r="16" spans="1:13">
      <c r="A16" s="73" t="s">
        <v>20</v>
      </c>
      <c r="B16" s="73" t="s">
        <v>437</v>
      </c>
      <c r="C16" s="73" t="s">
        <v>829</v>
      </c>
      <c r="E16" s="75">
        <v>2280</v>
      </c>
      <c r="G16" s="73">
        <v>137</v>
      </c>
      <c r="I16" s="73">
        <v>50</v>
      </c>
      <c r="K16" s="73">
        <v>159</v>
      </c>
      <c r="M16" s="73">
        <v>52</v>
      </c>
    </row>
    <row r="17" spans="1:13">
      <c r="A17" s="73" t="s">
        <v>20</v>
      </c>
      <c r="B17" s="73" t="s">
        <v>437</v>
      </c>
      <c r="C17" s="73" t="s">
        <v>201</v>
      </c>
      <c r="E17" s="75">
        <v>1151</v>
      </c>
      <c r="G17" s="73">
        <v>153</v>
      </c>
      <c r="I17" s="73">
        <v>65</v>
      </c>
      <c r="K17" s="73">
        <v>180</v>
      </c>
      <c r="M17" s="73">
        <v>10</v>
      </c>
    </row>
    <row r="18" spans="1:13">
      <c r="A18" s="73" t="s">
        <v>20</v>
      </c>
      <c r="B18" s="73" t="s">
        <v>438</v>
      </c>
      <c r="C18" s="73" t="s">
        <v>829</v>
      </c>
      <c r="E18" s="75">
        <v>22162</v>
      </c>
      <c r="G18" s="75">
        <v>17939</v>
      </c>
      <c r="I18" s="75">
        <v>11490</v>
      </c>
      <c r="K18" s="75">
        <v>15793</v>
      </c>
      <c r="M18" s="75">
        <v>21525</v>
      </c>
    </row>
    <row r="19" spans="1:13">
      <c r="A19" s="73" t="s">
        <v>20</v>
      </c>
      <c r="B19" s="73" t="s">
        <v>438</v>
      </c>
      <c r="C19" s="73" t="s">
        <v>201</v>
      </c>
      <c r="E19" s="75">
        <v>1868</v>
      </c>
      <c r="G19" s="75">
        <v>1436</v>
      </c>
      <c r="I19" s="73">
        <v>892</v>
      </c>
      <c r="K19" s="75">
        <v>1190</v>
      </c>
      <c r="M19" s="75">
        <v>1323</v>
      </c>
    </row>
    <row r="20" spans="1:13">
      <c r="A20" s="73" t="s">
        <v>20</v>
      </c>
      <c r="B20" s="73" t="s">
        <v>439</v>
      </c>
      <c r="C20" s="73" t="s">
        <v>829</v>
      </c>
      <c r="E20" s="73">
        <v>438</v>
      </c>
      <c r="G20" s="73">
        <v>109</v>
      </c>
      <c r="I20" s="73">
        <v>239</v>
      </c>
      <c r="K20" s="73">
        <v>230</v>
      </c>
      <c r="M20" s="73">
        <v>728</v>
      </c>
    </row>
    <row r="21" spans="1:13">
      <c r="A21" s="73" t="s">
        <v>20</v>
      </c>
      <c r="B21" s="73" t="s">
        <v>439</v>
      </c>
      <c r="C21" s="73" t="s">
        <v>201</v>
      </c>
      <c r="E21" s="73">
        <v>75</v>
      </c>
      <c r="G21" s="73">
        <v>9</v>
      </c>
      <c r="I21" s="73">
        <v>51</v>
      </c>
      <c r="K21" s="73">
        <v>82</v>
      </c>
      <c r="M21" s="73">
        <v>79</v>
      </c>
    </row>
    <row r="22" spans="1:13">
      <c r="A22" s="73" t="s">
        <v>20</v>
      </c>
      <c r="B22" s="73" t="s">
        <v>440</v>
      </c>
      <c r="C22" s="73" t="s">
        <v>829</v>
      </c>
      <c r="E22" s="75">
        <v>23706</v>
      </c>
      <c r="G22" s="75">
        <v>12864</v>
      </c>
      <c r="I22" s="75">
        <v>10900</v>
      </c>
      <c r="K22" s="75">
        <v>13151</v>
      </c>
      <c r="M22" s="75">
        <v>19577</v>
      </c>
    </row>
    <row r="23" spans="1:13">
      <c r="A23" s="73" t="s">
        <v>20</v>
      </c>
      <c r="B23" s="73" t="s">
        <v>440</v>
      </c>
      <c r="C23" s="73" t="s">
        <v>201</v>
      </c>
      <c r="E23" s="73">
        <v>552</v>
      </c>
      <c r="G23" s="73">
        <v>369</v>
      </c>
      <c r="I23" s="73">
        <v>432</v>
      </c>
      <c r="K23" s="73">
        <v>764</v>
      </c>
      <c r="M23" s="73">
        <v>444</v>
      </c>
    </row>
    <row r="24" spans="1:13">
      <c r="A24" s="76"/>
      <c r="B24" s="76"/>
      <c r="C24" s="76"/>
      <c r="D24" s="76"/>
      <c r="E24" s="76"/>
      <c r="F24" s="76"/>
      <c r="G24" s="76"/>
      <c r="H24" s="76"/>
      <c r="I24" s="76"/>
      <c r="J24" s="76"/>
      <c r="K24" s="76"/>
      <c r="L24" s="76"/>
      <c r="M24" s="76"/>
    </row>
    <row r="27" spans="1:13">
      <c r="A27" s="77" t="str">
        <f>HYPERLINK("[UKMY 2023 PrintableV1.1 12_09_24.xlsx]Contents!A1","Return to contents page")</f>
        <v>Return to contents page</v>
      </c>
    </row>
    <row r="64" spans="5:5">
      <c r="E64" s="78"/>
    </row>
  </sheetData>
  <sortState xmlns:xlrd2="http://schemas.microsoft.com/office/spreadsheetml/2017/richdata2" ref="A3:M23">
    <sortCondition ref="A14:A23"/>
    <sortCondition ref="B14:B23"/>
  </sortState>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735D-D330-4217-9AD0-8A04D2A24D6D}">
  <dimension ref="A1:M64"/>
  <sheetViews>
    <sheetView view="pageBreakPreview" zoomScaleNormal="100" zoomScaleSheetLayoutView="100" workbookViewId="0">
      <selection activeCell="B28" sqref="B28"/>
    </sheetView>
  </sheetViews>
  <sheetFormatPr defaultColWidth="9.1796875" defaultRowHeight="14"/>
  <cols>
    <col min="1" max="1" width="13.54296875" style="73" customWidth="1"/>
    <col min="2" max="2" width="44.7265625" style="73" customWidth="1"/>
    <col min="3" max="3" width="15.26953125" style="73" bestFit="1" customWidth="1"/>
    <col min="4" max="4" width="4.453125" style="73" bestFit="1" customWidth="1"/>
    <col min="5" max="5" width="7.26953125" style="73" bestFit="1" customWidth="1"/>
    <col min="6" max="6" width="4.453125" style="73" bestFit="1" customWidth="1"/>
    <col min="7" max="7" width="7.26953125" style="73" bestFit="1" customWidth="1"/>
    <col min="8" max="8" width="3.54296875" style="73" bestFit="1" customWidth="1"/>
    <col min="9" max="9" width="7.26953125" style="73" bestFit="1" customWidth="1"/>
    <col min="10" max="10" width="3.54296875" style="73" bestFit="1" customWidth="1"/>
    <col min="11" max="11" width="7.26953125" style="73" bestFit="1" customWidth="1"/>
    <col min="12" max="12" width="3.54296875" style="73" bestFit="1" customWidth="1"/>
    <col min="13" max="13" width="7.26953125" style="73" bestFit="1" customWidth="1"/>
    <col min="14" max="16384" width="9.1796875" style="73"/>
  </cols>
  <sheetData>
    <row r="1" spans="1:13" ht="15.5">
      <c r="A1" s="72" t="s">
        <v>442</v>
      </c>
    </row>
    <row r="2" spans="1:13">
      <c r="A2" s="83" t="s">
        <v>670</v>
      </c>
      <c r="B2" s="83" t="s">
        <v>0</v>
      </c>
      <c r="C2" s="83" t="s">
        <v>669</v>
      </c>
      <c r="D2" s="83" t="s">
        <v>1</v>
      </c>
      <c r="E2" s="83">
        <v>2018</v>
      </c>
      <c r="F2" s="83" t="s">
        <v>1</v>
      </c>
      <c r="G2" s="83">
        <v>2019</v>
      </c>
      <c r="H2" s="83" t="s">
        <v>1</v>
      </c>
      <c r="I2" s="83">
        <v>2020</v>
      </c>
      <c r="J2" s="83" t="s">
        <v>1</v>
      </c>
      <c r="K2" s="83">
        <v>2021</v>
      </c>
      <c r="L2" s="83" t="s">
        <v>1</v>
      </c>
      <c r="M2" s="83">
        <v>2022</v>
      </c>
    </row>
    <row r="3" spans="1:13" ht="25.5">
      <c r="A3" s="85" t="s">
        <v>300</v>
      </c>
      <c r="B3" s="86" t="s">
        <v>452</v>
      </c>
      <c r="C3" s="86" t="s">
        <v>201</v>
      </c>
      <c r="D3" s="86" t="s">
        <v>205</v>
      </c>
      <c r="E3" s="87">
        <v>56000</v>
      </c>
      <c r="F3" s="86" t="s">
        <v>205</v>
      </c>
      <c r="G3" s="87">
        <v>57000</v>
      </c>
      <c r="H3" s="86" t="s">
        <v>205</v>
      </c>
      <c r="I3" s="87">
        <v>52000</v>
      </c>
      <c r="J3" s="86" t="s">
        <v>205</v>
      </c>
      <c r="K3" s="87">
        <v>47000</v>
      </c>
      <c r="L3" s="86" t="s">
        <v>205</v>
      </c>
      <c r="M3" s="87">
        <v>54000</v>
      </c>
    </row>
    <row r="4" spans="1:13">
      <c r="A4" s="85"/>
      <c r="B4" s="86"/>
      <c r="C4" s="86"/>
      <c r="D4" s="86"/>
      <c r="E4" s="86"/>
      <c r="F4" s="86"/>
      <c r="G4" s="86"/>
      <c r="H4" s="86"/>
      <c r="I4" s="86"/>
      <c r="J4" s="86"/>
      <c r="K4" s="86"/>
      <c r="L4" s="86"/>
      <c r="M4" s="86"/>
    </row>
    <row r="5" spans="1:13" ht="38">
      <c r="A5" s="85" t="s">
        <v>448</v>
      </c>
      <c r="B5" s="86" t="s">
        <v>449</v>
      </c>
      <c r="C5" s="86" t="s">
        <v>201</v>
      </c>
      <c r="D5" s="86"/>
      <c r="E5" s="86">
        <v>0</v>
      </c>
      <c r="F5" s="86"/>
      <c r="G5" s="86">
        <v>0</v>
      </c>
      <c r="H5" s="86"/>
      <c r="I5" s="86">
        <v>0</v>
      </c>
      <c r="J5" s="86"/>
      <c r="K5" s="86">
        <v>0</v>
      </c>
      <c r="L5" s="86"/>
      <c r="M5" s="86">
        <v>0</v>
      </c>
    </row>
    <row r="6" spans="1:13">
      <c r="A6" s="85"/>
      <c r="B6" s="86"/>
      <c r="C6" s="86"/>
      <c r="D6" s="86"/>
      <c r="E6" s="86"/>
      <c r="F6" s="86"/>
      <c r="G6" s="86"/>
      <c r="H6" s="86"/>
      <c r="I6" s="86"/>
      <c r="J6" s="86"/>
      <c r="K6" s="86"/>
      <c r="L6" s="86"/>
      <c r="M6" s="86"/>
    </row>
    <row r="7" spans="1:13">
      <c r="A7" s="86" t="s">
        <v>19</v>
      </c>
      <c r="B7" s="86" t="s">
        <v>454</v>
      </c>
      <c r="C7" s="86" t="s">
        <v>829</v>
      </c>
      <c r="D7" s="86"/>
      <c r="E7" s="87">
        <v>33661</v>
      </c>
      <c r="F7" s="86"/>
      <c r="G7" s="87">
        <v>33570</v>
      </c>
      <c r="H7" s="86"/>
      <c r="I7" s="87">
        <v>32919</v>
      </c>
      <c r="J7" s="86"/>
      <c r="K7" s="87">
        <v>30526</v>
      </c>
      <c r="L7" s="86"/>
      <c r="M7" s="87">
        <v>54917</v>
      </c>
    </row>
    <row r="8" spans="1:13">
      <c r="A8" s="86" t="s">
        <v>19</v>
      </c>
      <c r="B8" s="86" t="s">
        <v>454</v>
      </c>
      <c r="C8" s="86" t="s">
        <v>201</v>
      </c>
      <c r="D8" s="86"/>
      <c r="E8" s="87">
        <v>31607</v>
      </c>
      <c r="F8" s="86"/>
      <c r="G8" s="87">
        <v>34438</v>
      </c>
      <c r="H8" s="86"/>
      <c r="I8" s="87">
        <v>35824</v>
      </c>
      <c r="J8" s="86"/>
      <c r="K8" s="87">
        <v>28952</v>
      </c>
      <c r="L8" s="86"/>
      <c r="M8" s="87">
        <v>33475</v>
      </c>
    </row>
    <row r="9" spans="1:13">
      <c r="A9" s="86" t="s">
        <v>19</v>
      </c>
      <c r="B9" s="86" t="s">
        <v>453</v>
      </c>
      <c r="C9" s="86" t="s">
        <v>829</v>
      </c>
      <c r="D9" s="86"/>
      <c r="E9" s="87">
        <v>30865</v>
      </c>
      <c r="F9" s="86"/>
      <c r="G9" s="87">
        <v>29138</v>
      </c>
      <c r="H9" s="86"/>
      <c r="I9" s="87">
        <v>22255</v>
      </c>
      <c r="J9" s="86"/>
      <c r="K9" s="87">
        <v>31185</v>
      </c>
      <c r="L9" s="86"/>
      <c r="M9" s="87">
        <v>43745</v>
      </c>
    </row>
    <row r="10" spans="1:13">
      <c r="A10" s="86" t="s">
        <v>19</v>
      </c>
      <c r="B10" s="86" t="s">
        <v>453</v>
      </c>
      <c r="C10" s="86" t="s">
        <v>201</v>
      </c>
      <c r="D10" s="86"/>
      <c r="E10" s="87">
        <v>35815</v>
      </c>
      <c r="F10" s="86"/>
      <c r="G10" s="87">
        <v>35215</v>
      </c>
      <c r="H10" s="86"/>
      <c r="I10" s="87">
        <v>28469</v>
      </c>
      <c r="J10" s="86"/>
      <c r="K10" s="87">
        <v>30854</v>
      </c>
      <c r="L10" s="86"/>
      <c r="M10" s="87">
        <v>30116</v>
      </c>
    </row>
    <row r="11" spans="1:13">
      <c r="A11" s="86" t="s">
        <v>19</v>
      </c>
      <c r="B11" s="86" t="s">
        <v>447</v>
      </c>
      <c r="C11" s="86" t="s">
        <v>829</v>
      </c>
      <c r="D11" s="86" t="s">
        <v>53</v>
      </c>
      <c r="E11" s="87">
        <v>1474</v>
      </c>
      <c r="F11" s="86" t="s">
        <v>53</v>
      </c>
      <c r="G11" s="87">
        <v>1305</v>
      </c>
      <c r="H11" s="86" t="s">
        <v>53</v>
      </c>
      <c r="I11" s="87">
        <v>1453</v>
      </c>
      <c r="J11" s="86" t="s">
        <v>53</v>
      </c>
      <c r="K11" s="86">
        <v>995</v>
      </c>
      <c r="L11" s="86" t="s">
        <v>53</v>
      </c>
      <c r="M11" s="87">
        <v>3202</v>
      </c>
    </row>
    <row r="12" spans="1:13">
      <c r="A12" s="86" t="s">
        <v>19</v>
      </c>
      <c r="B12" s="86" t="s">
        <v>447</v>
      </c>
      <c r="C12" s="86" t="s">
        <v>201</v>
      </c>
      <c r="D12" s="86" t="s">
        <v>53</v>
      </c>
      <c r="E12" s="87">
        <v>3212</v>
      </c>
      <c r="F12" s="86" t="s">
        <v>53</v>
      </c>
      <c r="G12" s="87">
        <v>3337</v>
      </c>
      <c r="H12" s="86" t="s">
        <v>53</v>
      </c>
      <c r="I12" s="87">
        <v>3905</v>
      </c>
      <c r="J12" s="86" t="s">
        <v>53</v>
      </c>
      <c r="K12" s="87">
        <v>3082</v>
      </c>
      <c r="L12" s="86" t="s">
        <v>53</v>
      </c>
      <c r="M12" s="87">
        <v>6927</v>
      </c>
    </row>
    <row r="13" spans="1:13">
      <c r="A13" s="86" t="s">
        <v>19</v>
      </c>
      <c r="B13" s="86" t="s">
        <v>446</v>
      </c>
      <c r="C13" s="86" t="s">
        <v>829</v>
      </c>
      <c r="D13" s="86"/>
      <c r="E13" s="87">
        <v>4283</v>
      </c>
      <c r="F13" s="86"/>
      <c r="G13" s="87">
        <v>4811</v>
      </c>
      <c r="H13" s="86"/>
      <c r="I13" s="87">
        <v>3863</v>
      </c>
      <c r="J13" s="86"/>
      <c r="K13" s="87">
        <v>4450</v>
      </c>
      <c r="L13" s="86"/>
      <c r="M13" s="87">
        <v>4649</v>
      </c>
    </row>
    <row r="14" spans="1:13">
      <c r="A14" s="86" t="s">
        <v>19</v>
      </c>
      <c r="B14" s="86" t="s">
        <v>446</v>
      </c>
      <c r="C14" s="86" t="s">
        <v>201</v>
      </c>
      <c r="D14" s="86"/>
      <c r="E14" s="87">
        <v>5984</v>
      </c>
      <c r="F14" s="86"/>
      <c r="G14" s="87">
        <v>5862</v>
      </c>
      <c r="H14" s="86"/>
      <c r="I14" s="87">
        <v>5340</v>
      </c>
      <c r="J14" s="86"/>
      <c r="K14" s="87">
        <v>5640</v>
      </c>
      <c r="L14" s="86"/>
      <c r="M14" s="87">
        <v>4877</v>
      </c>
    </row>
    <row r="15" spans="1:13">
      <c r="A15" s="86" t="s">
        <v>19</v>
      </c>
      <c r="B15" s="86" t="s">
        <v>445</v>
      </c>
      <c r="C15" s="86" t="s">
        <v>829</v>
      </c>
      <c r="D15" s="86"/>
      <c r="E15" s="86">
        <v>95</v>
      </c>
      <c r="F15" s="86"/>
      <c r="G15" s="86">
        <v>20</v>
      </c>
      <c r="H15" s="86"/>
      <c r="I15" s="86">
        <v>15</v>
      </c>
      <c r="J15" s="86"/>
      <c r="K15" s="86">
        <v>0</v>
      </c>
      <c r="L15" s="86"/>
      <c r="M15" s="86"/>
    </row>
    <row r="16" spans="1:13">
      <c r="A16" s="86" t="s">
        <v>19</v>
      </c>
      <c r="B16" s="86" t="s">
        <v>445</v>
      </c>
      <c r="C16" s="86" t="s">
        <v>201</v>
      </c>
      <c r="D16" s="86"/>
      <c r="E16" s="86">
        <v>51</v>
      </c>
      <c r="F16" s="86"/>
      <c r="G16" s="86">
        <v>12</v>
      </c>
      <c r="H16" s="86"/>
      <c r="I16" s="86">
        <v>7</v>
      </c>
      <c r="J16" s="86"/>
      <c r="K16" s="86">
        <v>0</v>
      </c>
      <c r="L16" s="86"/>
      <c r="M16" s="86"/>
    </row>
    <row r="17" spans="1:13">
      <c r="A17" s="86" t="s">
        <v>19</v>
      </c>
      <c r="B17" s="86" t="s">
        <v>444</v>
      </c>
      <c r="C17" s="86" t="s">
        <v>829</v>
      </c>
      <c r="D17" s="86"/>
      <c r="E17" s="87">
        <v>5812</v>
      </c>
      <c r="F17" s="86"/>
      <c r="G17" s="87">
        <v>4251</v>
      </c>
      <c r="H17" s="86"/>
      <c r="I17" s="87">
        <v>3135</v>
      </c>
      <c r="J17" s="86"/>
      <c r="K17" s="87">
        <v>5711</v>
      </c>
      <c r="L17" s="86"/>
      <c r="M17" s="87">
        <v>13147</v>
      </c>
    </row>
    <row r="18" spans="1:13">
      <c r="A18" s="86" t="s">
        <v>19</v>
      </c>
      <c r="B18" s="86" t="s">
        <v>444</v>
      </c>
      <c r="C18" s="86" t="s">
        <v>201</v>
      </c>
      <c r="D18" s="86"/>
      <c r="E18" s="87">
        <v>3574</v>
      </c>
      <c r="F18" s="86"/>
      <c r="G18" s="87">
        <v>2630</v>
      </c>
      <c r="H18" s="86"/>
      <c r="I18" s="87">
        <v>2044</v>
      </c>
      <c r="J18" s="86"/>
      <c r="K18" s="87">
        <v>2671</v>
      </c>
      <c r="L18" s="86"/>
      <c r="M18" s="87">
        <v>3109</v>
      </c>
    </row>
    <row r="19" spans="1:13">
      <c r="A19" s="86" t="s">
        <v>19</v>
      </c>
      <c r="B19" s="86" t="s">
        <v>443</v>
      </c>
      <c r="C19" s="86" t="s">
        <v>829</v>
      </c>
      <c r="D19" s="86"/>
      <c r="E19" s="86">
        <v>14</v>
      </c>
      <c r="F19" s="86"/>
      <c r="G19" s="86">
        <v>624</v>
      </c>
      <c r="H19" s="86"/>
      <c r="I19" s="86">
        <v>54</v>
      </c>
      <c r="J19" s="86"/>
      <c r="K19" s="86">
        <v>892</v>
      </c>
      <c r="L19" s="86"/>
      <c r="M19" s="86">
        <v>833</v>
      </c>
    </row>
    <row r="20" spans="1:13">
      <c r="A20" s="86" t="s">
        <v>19</v>
      </c>
      <c r="B20" s="86" t="s">
        <v>443</v>
      </c>
      <c r="C20" s="86" t="s">
        <v>201</v>
      </c>
      <c r="D20" s="86"/>
      <c r="E20" s="86">
        <v>2</v>
      </c>
      <c r="F20" s="86"/>
      <c r="G20" s="86">
        <v>279</v>
      </c>
      <c r="H20" s="86"/>
      <c r="I20" s="86">
        <v>22</v>
      </c>
      <c r="J20" s="86"/>
      <c r="K20" s="86">
        <v>111</v>
      </c>
      <c r="L20" s="86"/>
      <c r="M20" s="86">
        <v>206</v>
      </c>
    </row>
    <row r="21" spans="1:13">
      <c r="A21" s="86"/>
      <c r="B21" s="86"/>
      <c r="C21" s="86"/>
      <c r="D21" s="86"/>
      <c r="E21" s="86"/>
      <c r="F21" s="86"/>
      <c r="G21" s="86"/>
      <c r="H21" s="86"/>
      <c r="I21" s="86"/>
      <c r="J21" s="86"/>
      <c r="K21" s="86"/>
      <c r="L21" s="86"/>
      <c r="M21" s="86"/>
    </row>
    <row r="22" spans="1:13">
      <c r="A22" s="86" t="s">
        <v>20</v>
      </c>
      <c r="B22" s="86" t="s">
        <v>454</v>
      </c>
      <c r="C22" s="86" t="s">
        <v>829</v>
      </c>
      <c r="D22" s="86"/>
      <c r="E22" s="86">
        <v>804</v>
      </c>
      <c r="F22" s="86"/>
      <c r="G22" s="86">
        <v>675</v>
      </c>
      <c r="H22" s="86"/>
      <c r="I22" s="86">
        <v>617</v>
      </c>
      <c r="J22" s="86"/>
      <c r="K22" s="87">
        <v>2003</v>
      </c>
      <c r="L22" s="86"/>
      <c r="M22" s="87">
        <v>1101</v>
      </c>
    </row>
    <row r="23" spans="1:13">
      <c r="A23" s="86" t="s">
        <v>20</v>
      </c>
      <c r="B23" s="86" t="s">
        <v>454</v>
      </c>
      <c r="C23" s="86" t="s">
        <v>201</v>
      </c>
      <c r="D23" s="86"/>
      <c r="E23" s="86">
        <v>416</v>
      </c>
      <c r="F23" s="86"/>
      <c r="G23" s="86">
        <v>464</v>
      </c>
      <c r="H23" s="86"/>
      <c r="I23" s="86">
        <v>560</v>
      </c>
      <c r="J23" s="86"/>
      <c r="K23" s="87">
        <v>3057</v>
      </c>
      <c r="L23" s="86"/>
      <c r="M23" s="86">
        <v>838</v>
      </c>
    </row>
    <row r="24" spans="1:13">
      <c r="A24" s="86" t="s">
        <v>20</v>
      </c>
      <c r="B24" s="86" t="s">
        <v>453</v>
      </c>
      <c r="C24" s="86" t="s">
        <v>829</v>
      </c>
      <c r="D24" s="86"/>
      <c r="E24" s="86">
        <v>67</v>
      </c>
      <c r="F24" s="86"/>
      <c r="G24" s="86">
        <v>87</v>
      </c>
      <c r="H24" s="86"/>
      <c r="I24" s="86">
        <v>40</v>
      </c>
      <c r="J24" s="86"/>
      <c r="K24" s="86">
        <v>17</v>
      </c>
      <c r="L24" s="86"/>
      <c r="M24" s="86">
        <v>155</v>
      </c>
    </row>
    <row r="25" spans="1:13">
      <c r="A25" s="86" t="s">
        <v>20</v>
      </c>
      <c r="B25" s="86" t="s">
        <v>453</v>
      </c>
      <c r="C25" s="86" t="s">
        <v>201</v>
      </c>
      <c r="D25" s="86"/>
      <c r="E25" s="86">
        <v>122</v>
      </c>
      <c r="F25" s="86"/>
      <c r="G25" s="86">
        <v>178</v>
      </c>
      <c r="H25" s="86"/>
      <c r="I25" s="86">
        <v>116</v>
      </c>
      <c r="J25" s="86"/>
      <c r="K25" s="86">
        <v>1</v>
      </c>
      <c r="L25" s="86"/>
      <c r="M25" s="86">
        <v>151</v>
      </c>
    </row>
    <row r="26" spans="1:13">
      <c r="A26" s="86" t="s">
        <v>20</v>
      </c>
      <c r="B26" s="86" t="s">
        <v>450</v>
      </c>
      <c r="C26" s="86" t="s">
        <v>829</v>
      </c>
      <c r="D26" s="86" t="s">
        <v>451</v>
      </c>
      <c r="E26" s="86"/>
      <c r="F26" s="86" t="s">
        <v>451</v>
      </c>
      <c r="G26" s="86"/>
      <c r="H26" s="86" t="s">
        <v>96</v>
      </c>
      <c r="I26" s="86"/>
      <c r="J26" s="86" t="s">
        <v>96</v>
      </c>
      <c r="K26" s="86"/>
      <c r="L26" s="86"/>
      <c r="M26" s="86"/>
    </row>
    <row r="27" spans="1:13">
      <c r="A27" s="86" t="s">
        <v>20</v>
      </c>
      <c r="B27" s="86" t="s">
        <v>450</v>
      </c>
      <c r="C27" s="86" t="s">
        <v>201</v>
      </c>
      <c r="D27" s="86" t="s">
        <v>451</v>
      </c>
      <c r="E27" s="86"/>
      <c r="F27" s="86" t="s">
        <v>451</v>
      </c>
      <c r="G27" s="86"/>
      <c r="H27" s="86" t="s">
        <v>96</v>
      </c>
      <c r="I27" s="86"/>
      <c r="J27" s="86" t="s">
        <v>96</v>
      </c>
      <c r="K27" s="86"/>
      <c r="L27" s="86"/>
      <c r="M27" s="86"/>
    </row>
    <row r="28" spans="1:13">
      <c r="A28" s="86" t="s">
        <v>20</v>
      </c>
      <c r="B28" s="86" t="s">
        <v>447</v>
      </c>
      <c r="C28" s="86" t="s">
        <v>829</v>
      </c>
      <c r="D28" s="86"/>
      <c r="E28" s="86">
        <v>548</v>
      </c>
      <c r="F28" s="86"/>
      <c r="G28" s="86">
        <v>164</v>
      </c>
      <c r="H28" s="86"/>
      <c r="I28" s="86">
        <v>136</v>
      </c>
      <c r="J28" s="86"/>
      <c r="K28" s="86">
        <v>286</v>
      </c>
      <c r="L28" s="86"/>
      <c r="M28" s="86">
        <v>557</v>
      </c>
    </row>
    <row r="29" spans="1:13">
      <c r="A29" s="86" t="s">
        <v>20</v>
      </c>
      <c r="B29" s="86" t="s">
        <v>447</v>
      </c>
      <c r="C29" s="86" t="s">
        <v>201</v>
      </c>
      <c r="D29" s="86"/>
      <c r="E29" s="86">
        <v>497</v>
      </c>
      <c r="F29" s="86"/>
      <c r="G29" s="86">
        <v>136</v>
      </c>
      <c r="H29" s="86"/>
      <c r="I29" s="86">
        <v>425</v>
      </c>
      <c r="J29" s="86"/>
      <c r="K29" s="86">
        <v>314</v>
      </c>
      <c r="L29" s="86"/>
      <c r="M29" s="86">
        <v>553</v>
      </c>
    </row>
    <row r="30" spans="1:13">
      <c r="A30" s="86" t="s">
        <v>20</v>
      </c>
      <c r="B30" s="86" t="s">
        <v>446</v>
      </c>
      <c r="C30" s="86" t="s">
        <v>829</v>
      </c>
      <c r="D30" s="86"/>
      <c r="E30" s="86">
        <v>529</v>
      </c>
      <c r="F30" s="86"/>
      <c r="G30" s="86">
        <v>936</v>
      </c>
      <c r="H30" s="86"/>
      <c r="I30" s="86">
        <v>815</v>
      </c>
      <c r="J30" s="86"/>
      <c r="K30" s="86">
        <v>136</v>
      </c>
      <c r="L30" s="86"/>
      <c r="M30" s="87">
        <v>1906</v>
      </c>
    </row>
    <row r="31" spans="1:13">
      <c r="A31" s="86" t="s">
        <v>20</v>
      </c>
      <c r="B31" s="86" t="s">
        <v>446</v>
      </c>
      <c r="C31" s="86" t="s">
        <v>201</v>
      </c>
      <c r="D31" s="86"/>
      <c r="E31" s="86">
        <v>655</v>
      </c>
      <c r="F31" s="86"/>
      <c r="G31" s="86">
        <v>989</v>
      </c>
      <c r="H31" s="86"/>
      <c r="I31" s="86">
        <v>932</v>
      </c>
      <c r="J31" s="86"/>
      <c r="K31" s="86">
        <v>73</v>
      </c>
      <c r="L31" s="86"/>
      <c r="M31" s="86">
        <v>991</v>
      </c>
    </row>
    <row r="32" spans="1:13">
      <c r="A32" s="86" t="s">
        <v>20</v>
      </c>
      <c r="B32" s="86" t="s">
        <v>445</v>
      </c>
      <c r="C32" s="86" t="s">
        <v>829</v>
      </c>
      <c r="D32" s="86"/>
      <c r="E32" s="86">
        <v>43</v>
      </c>
      <c r="F32" s="86"/>
      <c r="G32" s="86">
        <v>5</v>
      </c>
      <c r="H32" s="86"/>
      <c r="I32" s="86">
        <v>12</v>
      </c>
      <c r="J32" s="86"/>
      <c r="K32" s="86">
        <v>284</v>
      </c>
      <c r="L32" s="86"/>
      <c r="M32" s="86">
        <v>268</v>
      </c>
    </row>
    <row r="33" spans="1:13">
      <c r="A33" s="86" t="s">
        <v>20</v>
      </c>
      <c r="B33" s="86" t="s">
        <v>445</v>
      </c>
      <c r="C33" s="86" t="s">
        <v>201</v>
      </c>
      <c r="D33" s="86"/>
      <c r="E33" s="86">
        <v>24</v>
      </c>
      <c r="F33" s="86"/>
      <c r="G33" s="86">
        <v>2</v>
      </c>
      <c r="H33" s="86"/>
      <c r="I33" s="86">
        <v>9</v>
      </c>
      <c r="J33" s="86"/>
      <c r="K33" s="86">
        <v>42</v>
      </c>
      <c r="L33" s="86"/>
      <c r="M33" s="86">
        <v>41</v>
      </c>
    </row>
    <row r="34" spans="1:13">
      <c r="A34" s="86" t="s">
        <v>20</v>
      </c>
      <c r="B34" s="86" t="s">
        <v>444</v>
      </c>
      <c r="C34" s="86" t="s">
        <v>829</v>
      </c>
      <c r="D34" s="86"/>
      <c r="E34" s="86">
        <v>237</v>
      </c>
      <c r="F34" s="86"/>
      <c r="G34" s="86">
        <v>275</v>
      </c>
      <c r="H34" s="86"/>
      <c r="I34" s="86">
        <v>158</v>
      </c>
      <c r="J34" s="86"/>
      <c r="K34" s="86">
        <v>286</v>
      </c>
      <c r="L34" s="86"/>
      <c r="M34" s="87">
        <v>1566</v>
      </c>
    </row>
    <row r="35" spans="1:13">
      <c r="A35" s="86" t="s">
        <v>20</v>
      </c>
      <c r="B35" s="86" t="s">
        <v>444</v>
      </c>
      <c r="C35" s="86" t="s">
        <v>201</v>
      </c>
      <c r="D35" s="86"/>
      <c r="E35" s="86">
        <v>134</v>
      </c>
      <c r="F35" s="86"/>
      <c r="G35" s="86">
        <v>140</v>
      </c>
      <c r="H35" s="86"/>
      <c r="I35" s="86">
        <v>91</v>
      </c>
      <c r="J35" s="86"/>
      <c r="K35" s="86">
        <v>113</v>
      </c>
      <c r="L35" s="86"/>
      <c r="M35" s="86">
        <v>295</v>
      </c>
    </row>
    <row r="36" spans="1:13">
      <c r="A36" s="86" t="s">
        <v>20</v>
      </c>
      <c r="B36" s="86" t="s">
        <v>443</v>
      </c>
      <c r="C36" s="86" t="s">
        <v>829</v>
      </c>
      <c r="D36" s="86"/>
      <c r="E36" s="86">
        <v>70</v>
      </c>
      <c r="F36" s="86"/>
      <c r="G36" s="86">
        <v>138</v>
      </c>
      <c r="H36" s="86"/>
      <c r="I36" s="86">
        <v>39</v>
      </c>
      <c r="J36" s="86"/>
      <c r="K36" s="86">
        <v>431</v>
      </c>
      <c r="L36" s="86"/>
      <c r="M36" s="86">
        <v>678</v>
      </c>
    </row>
    <row r="37" spans="1:13">
      <c r="A37" s="86" t="s">
        <v>20</v>
      </c>
      <c r="B37" s="86" t="s">
        <v>443</v>
      </c>
      <c r="C37" s="86" t="s">
        <v>201</v>
      </c>
      <c r="D37" s="86"/>
      <c r="E37" s="86">
        <v>1</v>
      </c>
      <c r="F37" s="86"/>
      <c r="G37" s="86">
        <v>3</v>
      </c>
      <c r="H37" s="86"/>
      <c r="I37" s="86">
        <v>0</v>
      </c>
      <c r="J37" s="86"/>
      <c r="K37" s="86">
        <v>174</v>
      </c>
      <c r="L37" s="86"/>
      <c r="M37" s="86">
        <v>217</v>
      </c>
    </row>
    <row r="38" spans="1:13">
      <c r="A38" s="88"/>
      <c r="B38" s="88"/>
      <c r="C38" s="88"/>
      <c r="D38" s="88"/>
      <c r="E38" s="88"/>
      <c r="F38" s="88"/>
      <c r="G38" s="88"/>
      <c r="H38" s="88"/>
      <c r="I38" s="88"/>
      <c r="J38" s="88"/>
      <c r="K38" s="88"/>
      <c r="L38" s="88"/>
      <c r="M38" s="88"/>
    </row>
    <row r="39" spans="1:13">
      <c r="A39" s="86"/>
      <c r="B39" s="86"/>
      <c r="C39" s="86"/>
      <c r="D39" s="86"/>
      <c r="E39" s="86"/>
      <c r="F39" s="86"/>
      <c r="G39" s="86"/>
      <c r="H39" s="86"/>
      <c r="I39" s="86"/>
      <c r="J39" s="86"/>
      <c r="K39" s="86"/>
      <c r="L39" s="86"/>
      <c r="M39" s="86"/>
    </row>
    <row r="40" spans="1:13">
      <c r="A40" s="86" t="s">
        <v>14</v>
      </c>
      <c r="B40" s="86" t="s">
        <v>15</v>
      </c>
      <c r="C40" s="86"/>
      <c r="D40" s="86"/>
      <c r="E40" s="86"/>
      <c r="F40" s="86"/>
      <c r="G40" s="86"/>
      <c r="H40" s="86"/>
      <c r="I40" s="86"/>
      <c r="J40" s="86"/>
      <c r="K40" s="86"/>
      <c r="L40" s="86"/>
      <c r="M40" s="86"/>
    </row>
    <row r="41" spans="1:13">
      <c r="A41" s="86" t="s">
        <v>221</v>
      </c>
      <c r="B41" s="86" t="s">
        <v>297</v>
      </c>
      <c r="C41" s="86"/>
      <c r="D41" s="86"/>
      <c r="E41" s="86"/>
      <c r="F41" s="86"/>
      <c r="G41" s="86"/>
      <c r="H41" s="86"/>
      <c r="I41" s="86"/>
      <c r="J41" s="86"/>
      <c r="K41" s="86"/>
      <c r="L41" s="86"/>
      <c r="M41" s="86"/>
    </row>
    <row r="42" spans="1:13">
      <c r="A42" s="86" t="s">
        <v>71</v>
      </c>
      <c r="B42" s="86" t="s">
        <v>798</v>
      </c>
      <c r="C42" s="86"/>
      <c r="D42" s="86"/>
      <c r="E42" s="86"/>
      <c r="F42" s="86"/>
      <c r="G42" s="86"/>
      <c r="H42" s="86"/>
      <c r="I42" s="86"/>
      <c r="J42" s="86"/>
      <c r="K42" s="86"/>
      <c r="L42" s="86"/>
      <c r="M42" s="86"/>
    </row>
    <row r="43" spans="1:13">
      <c r="A43" s="86" t="s">
        <v>120</v>
      </c>
      <c r="B43" s="112" t="s">
        <v>685</v>
      </c>
      <c r="C43" s="112"/>
      <c r="D43" s="112"/>
      <c r="E43" s="112"/>
      <c r="F43" s="112"/>
      <c r="G43" s="112"/>
      <c r="H43" s="112"/>
      <c r="I43" s="112"/>
      <c r="J43" s="112"/>
      <c r="K43" s="112"/>
      <c r="L43" s="86"/>
      <c r="M43" s="86"/>
    </row>
    <row r="44" spans="1:13">
      <c r="A44" s="86" t="s">
        <v>214</v>
      </c>
      <c r="B44" s="86" t="s">
        <v>334</v>
      </c>
      <c r="C44" s="86"/>
      <c r="D44" s="86"/>
      <c r="E44" s="86"/>
      <c r="F44" s="86"/>
      <c r="G44" s="86"/>
      <c r="H44" s="86"/>
      <c r="I44" s="86"/>
      <c r="J44" s="86"/>
      <c r="K44" s="86"/>
      <c r="L44" s="86"/>
      <c r="M44" s="86"/>
    </row>
    <row r="45" spans="1:13">
      <c r="A45" s="86"/>
      <c r="B45" s="86"/>
      <c r="C45" s="86"/>
      <c r="D45" s="86"/>
      <c r="E45" s="86"/>
      <c r="F45" s="86"/>
      <c r="G45" s="86"/>
      <c r="H45" s="86"/>
      <c r="I45" s="86"/>
      <c r="J45" s="86"/>
      <c r="K45" s="86"/>
      <c r="L45" s="86"/>
      <c r="M45" s="86"/>
    </row>
    <row r="46" spans="1:13">
      <c r="A46" s="86"/>
      <c r="B46" s="86"/>
      <c r="C46" s="86"/>
      <c r="D46" s="86"/>
      <c r="E46" s="86"/>
      <c r="F46" s="86"/>
      <c r="G46" s="86"/>
      <c r="H46" s="86"/>
      <c r="I46" s="86"/>
      <c r="J46" s="86"/>
      <c r="K46" s="86"/>
      <c r="L46" s="86"/>
      <c r="M46" s="86"/>
    </row>
    <row r="47" spans="1:13">
      <c r="A47" s="90" t="str">
        <f>HYPERLINK("[UKMY 2023 PrintableV1.1 12_09_24.xlsx]Contents!A1","Return to contents page")</f>
        <v>Return to contents page</v>
      </c>
      <c r="B47" s="86"/>
      <c r="C47" s="86"/>
      <c r="D47" s="86"/>
      <c r="E47" s="86"/>
      <c r="F47" s="86"/>
      <c r="G47" s="86"/>
      <c r="H47" s="86"/>
      <c r="I47" s="86"/>
      <c r="J47" s="86"/>
      <c r="K47" s="86"/>
      <c r="L47" s="86"/>
      <c r="M47" s="86"/>
    </row>
    <row r="64" spans="5:5">
      <c r="E64" s="78"/>
    </row>
  </sheetData>
  <sortState xmlns:xlrd2="http://schemas.microsoft.com/office/spreadsheetml/2017/richdata2" ref="A3:M37">
    <sortCondition ref="A3:A37"/>
    <sortCondition ref="B3:B37"/>
  </sortState>
  <mergeCells count="1">
    <mergeCell ref="B43:K43"/>
  </mergeCell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A0A81-6412-4EE3-BC4E-EEB4D9F68DA7}">
  <dimension ref="A1:M64"/>
  <sheetViews>
    <sheetView view="pageBreakPreview" zoomScaleNormal="100" zoomScaleSheetLayoutView="100" workbookViewId="0">
      <selection activeCell="A5" sqref="A5"/>
    </sheetView>
  </sheetViews>
  <sheetFormatPr defaultColWidth="9.1796875" defaultRowHeight="14"/>
  <cols>
    <col min="1" max="1" width="21.1796875" style="73" customWidth="1"/>
    <col min="2" max="2" width="36.81640625" style="73" bestFit="1" customWidth="1"/>
    <col min="3" max="3" width="15.26953125" style="73" bestFit="1" customWidth="1"/>
    <col min="4" max="4" width="2.1796875" style="73" bestFit="1" customWidth="1"/>
    <col min="5" max="5" width="8.453125" style="73" bestFit="1" customWidth="1"/>
    <col min="6" max="6" width="2.1796875" style="73" bestFit="1" customWidth="1"/>
    <col min="7" max="7" width="7.26953125" style="73" bestFit="1" customWidth="1"/>
    <col min="8" max="8" width="2.1796875" style="73" bestFit="1" customWidth="1"/>
    <col min="9" max="9" width="7.26953125" style="73" bestFit="1" customWidth="1"/>
    <col min="10" max="10" width="2.1796875"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455</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456</v>
      </c>
      <c r="C3" s="73" t="s">
        <v>829</v>
      </c>
      <c r="E3" s="75">
        <v>9212</v>
      </c>
      <c r="G3" s="75">
        <v>7104</v>
      </c>
      <c r="I3" s="75">
        <v>5557</v>
      </c>
      <c r="K3" s="75">
        <v>3249</v>
      </c>
      <c r="M3" s="75">
        <v>4906</v>
      </c>
    </row>
    <row r="4" spans="1:13">
      <c r="A4" s="73" t="s">
        <v>19</v>
      </c>
      <c r="B4" s="73" t="s">
        <v>456</v>
      </c>
      <c r="C4" s="73" t="s">
        <v>201</v>
      </c>
      <c r="E4" s="75">
        <v>132421</v>
      </c>
      <c r="G4" s="75">
        <v>89451</v>
      </c>
      <c r="I4" s="75">
        <v>70568</v>
      </c>
      <c r="K4" s="75">
        <v>22160</v>
      </c>
      <c r="M4" s="75">
        <v>48763</v>
      </c>
    </row>
    <row r="5" spans="1:13">
      <c r="A5" s="73" t="s">
        <v>19</v>
      </c>
      <c r="B5" s="73" t="s">
        <v>740</v>
      </c>
      <c r="C5" s="73" t="s">
        <v>829</v>
      </c>
      <c r="E5" s="75">
        <v>15895</v>
      </c>
      <c r="G5" s="75">
        <v>11865</v>
      </c>
      <c r="I5" s="75">
        <v>13467</v>
      </c>
      <c r="K5" s="75">
        <v>22191</v>
      </c>
      <c r="M5" s="75">
        <v>32629</v>
      </c>
    </row>
    <row r="6" spans="1:13">
      <c r="A6" s="73" t="s">
        <v>19</v>
      </c>
      <c r="B6" s="73" t="s">
        <v>740</v>
      </c>
      <c r="C6" s="73" t="s">
        <v>201</v>
      </c>
      <c r="E6" s="75">
        <v>33351</v>
      </c>
      <c r="G6" s="75">
        <v>35478</v>
      </c>
      <c r="I6" s="75">
        <v>50326</v>
      </c>
      <c r="K6" s="75">
        <v>76563</v>
      </c>
      <c r="M6" s="75">
        <v>78363</v>
      </c>
    </row>
    <row r="7" spans="1:13">
      <c r="A7" s="73" t="s">
        <v>19</v>
      </c>
      <c r="B7" s="73" t="s">
        <v>743</v>
      </c>
      <c r="C7" s="73" t="s">
        <v>829</v>
      </c>
      <c r="E7" s="75">
        <v>41948</v>
      </c>
      <c r="G7" s="75">
        <v>59458</v>
      </c>
      <c r="I7" s="75">
        <v>40933</v>
      </c>
      <c r="K7" s="75">
        <v>15827</v>
      </c>
      <c r="M7" s="75">
        <v>91699</v>
      </c>
    </row>
    <row r="8" spans="1:13">
      <c r="A8" s="73" t="s">
        <v>19</v>
      </c>
      <c r="B8" s="73" t="s">
        <v>743</v>
      </c>
      <c r="C8" s="73" t="s">
        <v>201</v>
      </c>
      <c r="E8" s="75">
        <v>46885</v>
      </c>
      <c r="G8" s="75">
        <v>55830</v>
      </c>
      <c r="I8" s="75">
        <v>42766</v>
      </c>
      <c r="K8" s="75">
        <v>27745</v>
      </c>
      <c r="M8" s="75">
        <v>67670</v>
      </c>
    </row>
    <row r="10" spans="1:13">
      <c r="A10" s="73" t="s">
        <v>20</v>
      </c>
      <c r="B10" s="73" t="s">
        <v>456</v>
      </c>
      <c r="C10" s="73" t="s">
        <v>829</v>
      </c>
      <c r="E10" s="73">
        <v>102</v>
      </c>
      <c r="G10" s="73">
        <v>62</v>
      </c>
      <c r="I10" s="73">
        <v>38</v>
      </c>
      <c r="K10" s="73">
        <v>194</v>
      </c>
      <c r="M10" s="73">
        <v>131</v>
      </c>
    </row>
    <row r="11" spans="1:13">
      <c r="A11" s="73" t="s">
        <v>20</v>
      </c>
      <c r="B11" s="73" t="s">
        <v>456</v>
      </c>
      <c r="C11" s="73" t="s">
        <v>201</v>
      </c>
      <c r="E11" s="73">
        <v>657</v>
      </c>
      <c r="G11" s="73">
        <v>280</v>
      </c>
      <c r="I11" s="73">
        <v>255</v>
      </c>
      <c r="K11" s="73">
        <v>516</v>
      </c>
      <c r="M11" s="73">
        <v>371</v>
      </c>
    </row>
    <row r="12" spans="1:13">
      <c r="A12" s="73" t="s">
        <v>20</v>
      </c>
      <c r="B12" s="73" t="s">
        <v>740</v>
      </c>
      <c r="C12" s="73" t="s">
        <v>829</v>
      </c>
      <c r="E12" s="73">
        <v>836</v>
      </c>
      <c r="G12" s="75">
        <v>1225</v>
      </c>
      <c r="I12" s="73">
        <v>816</v>
      </c>
      <c r="K12" s="73">
        <v>863</v>
      </c>
      <c r="M12" s="75">
        <v>1265</v>
      </c>
    </row>
    <row r="13" spans="1:13">
      <c r="A13" s="73" t="s">
        <v>20</v>
      </c>
      <c r="B13" s="73" t="s">
        <v>740</v>
      </c>
      <c r="C13" s="73" t="s">
        <v>201</v>
      </c>
      <c r="E13" s="75">
        <v>1219</v>
      </c>
      <c r="G13" s="75">
        <v>1265</v>
      </c>
      <c r="I13" s="73">
        <v>723</v>
      </c>
      <c r="K13" s="73">
        <v>681</v>
      </c>
      <c r="M13" s="75">
        <v>1126</v>
      </c>
    </row>
    <row r="14" spans="1:13">
      <c r="A14" s="73" t="s">
        <v>20</v>
      </c>
      <c r="B14" s="73" t="s">
        <v>743</v>
      </c>
      <c r="C14" s="73" t="s">
        <v>829</v>
      </c>
      <c r="E14" s="75">
        <v>4246</v>
      </c>
      <c r="G14" s="75">
        <v>4666</v>
      </c>
      <c r="I14" s="75">
        <v>3589</v>
      </c>
      <c r="K14" s="75">
        <v>1314</v>
      </c>
      <c r="M14" s="75">
        <v>4177</v>
      </c>
    </row>
    <row r="15" spans="1:13">
      <c r="A15" s="73" t="s">
        <v>20</v>
      </c>
      <c r="B15" s="73" t="s">
        <v>743</v>
      </c>
      <c r="C15" s="73" t="s">
        <v>201</v>
      </c>
      <c r="E15" s="73">
        <v>831</v>
      </c>
      <c r="G15" s="75">
        <v>1150</v>
      </c>
      <c r="I15" s="75">
        <v>1213</v>
      </c>
      <c r="K15" s="73">
        <v>509</v>
      </c>
      <c r="M15" s="75">
        <v>1094</v>
      </c>
    </row>
    <row r="16" spans="1:13">
      <c r="A16" s="76"/>
      <c r="B16" s="76"/>
      <c r="C16" s="76"/>
      <c r="D16" s="76"/>
      <c r="E16" s="76"/>
      <c r="F16" s="76"/>
      <c r="G16" s="76"/>
      <c r="H16" s="76"/>
      <c r="I16" s="76"/>
      <c r="J16" s="76"/>
      <c r="K16" s="76"/>
      <c r="L16" s="76"/>
      <c r="M16" s="76"/>
    </row>
    <row r="18" spans="1:1" ht="14.25" customHeight="1"/>
    <row r="19" spans="1:1">
      <c r="A19" s="77" t="str">
        <f>HYPERLINK("[UKMY 2023 PrintableV1.1 12_09_24.xlsx]Contents!A1","Return to contents page")</f>
        <v>Return to contents page</v>
      </c>
    </row>
    <row r="64" spans="5:5">
      <c r="E64" s="78"/>
    </row>
  </sheetData>
  <sortState xmlns:xlrd2="http://schemas.microsoft.com/office/spreadsheetml/2017/richdata2" ref="A3:M15">
    <sortCondition ref="A10:A15"/>
    <sortCondition ref="B10:B15"/>
  </sortState>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1679E-9ED8-4067-ABF6-EB6F0073BBD4}">
  <dimension ref="A1:K64"/>
  <sheetViews>
    <sheetView view="pageBreakPreview" zoomScaleNormal="100" zoomScaleSheetLayoutView="100" workbookViewId="0"/>
  </sheetViews>
  <sheetFormatPr defaultColWidth="9.1796875" defaultRowHeight="14"/>
  <cols>
    <col min="1" max="1" width="48.26953125" style="13" customWidth="1"/>
    <col min="2" max="2" width="2.1796875" style="13" bestFit="1" customWidth="1"/>
    <col min="3" max="3" width="11.54296875" style="13" bestFit="1" customWidth="1"/>
    <col min="4" max="4" width="5" style="13" bestFit="1" customWidth="1"/>
    <col min="5" max="5" width="11.54296875" style="13" bestFit="1" customWidth="1"/>
    <col min="6" max="6" width="5" style="13" bestFit="1" customWidth="1"/>
    <col min="7" max="7" width="11.54296875" style="13" bestFit="1" customWidth="1"/>
    <col min="8" max="8" width="5" style="13" bestFit="1" customWidth="1"/>
    <col min="9" max="9" width="11.54296875" style="13" bestFit="1" customWidth="1"/>
    <col min="10" max="10" width="5" style="13" bestFit="1" customWidth="1"/>
    <col min="11" max="11" width="11.54296875" style="13" bestFit="1" customWidth="1"/>
    <col min="12" max="12" width="8.54296875" style="13" bestFit="1" customWidth="1"/>
    <col min="13" max="13" width="6" style="13" bestFit="1" customWidth="1"/>
    <col min="14" max="16384" width="9.1796875" style="13"/>
  </cols>
  <sheetData>
    <row r="1" spans="1:11" ht="15.5">
      <c r="A1" s="29" t="s">
        <v>817</v>
      </c>
      <c r="K1" s="41" t="s">
        <v>811</v>
      </c>
    </row>
    <row r="2" spans="1:11">
      <c r="A2" s="42" t="s">
        <v>38</v>
      </c>
      <c r="B2" s="42" t="s">
        <v>1</v>
      </c>
      <c r="C2" s="42">
        <v>2018</v>
      </c>
      <c r="D2" s="42" t="s">
        <v>1</v>
      </c>
      <c r="E2" s="42">
        <v>2019</v>
      </c>
      <c r="F2" s="42" t="s">
        <v>1</v>
      </c>
      <c r="G2" s="42">
        <v>2020</v>
      </c>
      <c r="H2" s="42" t="s">
        <v>1</v>
      </c>
      <c r="I2" s="42">
        <v>2021</v>
      </c>
      <c r="J2" s="42" t="s">
        <v>1</v>
      </c>
      <c r="K2" s="42">
        <v>2022</v>
      </c>
    </row>
    <row r="3" spans="1:11">
      <c r="A3" s="13" t="s">
        <v>75</v>
      </c>
      <c r="C3" s="43">
        <v>77</v>
      </c>
      <c r="D3" s="43"/>
      <c r="E3" s="43">
        <v>123</v>
      </c>
      <c r="F3" s="43"/>
      <c r="G3" s="43">
        <v>62</v>
      </c>
      <c r="H3" s="43"/>
      <c r="I3" s="43"/>
      <c r="J3" s="43"/>
      <c r="K3" s="43">
        <v>25</v>
      </c>
    </row>
    <row r="4" spans="1:11">
      <c r="A4" s="13" t="s">
        <v>76</v>
      </c>
      <c r="C4" s="43">
        <v>19317</v>
      </c>
      <c r="D4" s="43"/>
      <c r="E4" s="43">
        <v>17515</v>
      </c>
      <c r="F4" s="43"/>
      <c r="G4" s="43">
        <v>11332</v>
      </c>
      <c r="H4" s="43"/>
      <c r="I4" s="43">
        <v>11212</v>
      </c>
      <c r="J4" s="43"/>
      <c r="K4" s="43">
        <v>14762</v>
      </c>
    </row>
    <row r="5" spans="1:11">
      <c r="A5" s="13" t="s">
        <v>77</v>
      </c>
      <c r="C5" s="43">
        <v>1930</v>
      </c>
      <c r="D5" s="43"/>
      <c r="E5" s="43">
        <v>1911</v>
      </c>
      <c r="F5" s="43"/>
      <c r="G5" s="43">
        <v>1944</v>
      </c>
      <c r="H5" s="43"/>
      <c r="I5" s="43">
        <v>2007</v>
      </c>
      <c r="J5" s="43"/>
      <c r="K5" s="43">
        <v>2184</v>
      </c>
    </row>
    <row r="6" spans="1:11">
      <c r="C6" s="43"/>
      <c r="D6" s="43"/>
      <c r="E6" s="43"/>
      <c r="F6" s="43"/>
      <c r="G6" s="43"/>
      <c r="H6" s="43"/>
      <c r="I6" s="43"/>
      <c r="J6" s="43"/>
      <c r="K6" s="43"/>
    </row>
    <row r="7" spans="1:11">
      <c r="A7" s="13" t="s">
        <v>78</v>
      </c>
      <c r="C7" s="43">
        <v>22614</v>
      </c>
      <c r="D7" s="43"/>
      <c r="E7" s="43">
        <v>21040</v>
      </c>
      <c r="F7" s="43"/>
      <c r="G7" s="43">
        <v>14529</v>
      </c>
      <c r="H7" s="43"/>
      <c r="I7" s="43">
        <v>14584</v>
      </c>
      <c r="J7" s="43"/>
      <c r="K7" s="43">
        <v>18763</v>
      </c>
    </row>
    <row r="8" spans="1:11">
      <c r="C8" s="43"/>
      <c r="D8" s="43"/>
      <c r="E8" s="43"/>
      <c r="F8" s="43"/>
      <c r="G8" s="43"/>
      <c r="H8" s="43"/>
      <c r="I8" s="43"/>
      <c r="J8" s="43"/>
      <c r="K8" s="43"/>
    </row>
    <row r="9" spans="1:11">
      <c r="A9" s="13" t="s">
        <v>79</v>
      </c>
      <c r="C9" s="43">
        <v>1920289</v>
      </c>
      <c r="D9" s="43"/>
      <c r="E9" s="43">
        <v>1995708</v>
      </c>
      <c r="F9" s="43"/>
      <c r="G9" s="43">
        <v>1897957</v>
      </c>
      <c r="H9" s="43"/>
      <c r="I9" s="43">
        <v>2046636</v>
      </c>
      <c r="J9" s="43"/>
      <c r="K9" s="43">
        <v>2194113</v>
      </c>
    </row>
    <row r="10" spans="1:11">
      <c r="A10" s="13" t="s">
        <v>80</v>
      </c>
      <c r="C10" s="44">
        <v>1.2</v>
      </c>
      <c r="D10" s="44"/>
      <c r="E10" s="44">
        <v>1.1000000000000001</v>
      </c>
      <c r="F10" s="44"/>
      <c r="G10" s="44">
        <v>0.8</v>
      </c>
      <c r="H10" s="44"/>
      <c r="I10" s="44">
        <v>0.7</v>
      </c>
      <c r="J10" s="44"/>
      <c r="K10" s="44">
        <v>0.9</v>
      </c>
    </row>
    <row r="11" spans="1:11">
      <c r="A11" s="35"/>
      <c r="B11" s="35"/>
      <c r="C11" s="35"/>
      <c r="D11" s="35"/>
      <c r="E11" s="35"/>
      <c r="F11" s="35"/>
      <c r="G11" s="35"/>
      <c r="H11" s="35"/>
      <c r="I11" s="35"/>
      <c r="J11" s="35"/>
      <c r="K11" s="35"/>
    </row>
    <row r="13" spans="1:11">
      <c r="A13" s="45" t="s">
        <v>81</v>
      </c>
    </row>
    <row r="14" spans="1:11">
      <c r="A14" s="45" t="s">
        <v>82</v>
      </c>
    </row>
    <row r="15" spans="1:11">
      <c r="A15" s="45" t="s">
        <v>83</v>
      </c>
    </row>
    <row r="18" spans="1:1">
      <c r="A18" s="46" t="str">
        <f>HYPERLINK("[UKMY 2023 PrintableV1.1 12_09_24.xlsx]Contents!A1","Return to contents page")</f>
        <v>Return to contents page</v>
      </c>
    </row>
    <row r="64" spans="5:5">
      <c r="E64" s="47"/>
    </row>
  </sheetData>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DE66D-C284-4C15-A570-F591DFA53E49}">
  <dimension ref="A1:M64"/>
  <sheetViews>
    <sheetView view="pageBreakPreview" zoomScaleNormal="100" zoomScaleSheetLayoutView="100" workbookViewId="0">
      <selection activeCell="B3" sqref="B3"/>
    </sheetView>
  </sheetViews>
  <sheetFormatPr defaultColWidth="9.1796875" defaultRowHeight="14"/>
  <cols>
    <col min="1" max="1" width="22.1796875" style="73" customWidth="1"/>
    <col min="2" max="2" width="26.26953125" style="73" bestFit="1" customWidth="1"/>
    <col min="3" max="3" width="12.26953125" style="73" bestFit="1" customWidth="1"/>
    <col min="4" max="4" width="2.1796875" style="73" bestFit="1" customWidth="1"/>
    <col min="5" max="5" width="5.54296875" style="73" bestFit="1" customWidth="1"/>
    <col min="6" max="6" width="2.1796875" style="73" bestFit="1" customWidth="1"/>
    <col min="7" max="7" width="7.26953125" style="73" bestFit="1" customWidth="1"/>
    <col min="8" max="8" width="2.1796875" style="73" bestFit="1" customWidth="1"/>
    <col min="9" max="9" width="5.54296875" style="73" bestFit="1" customWidth="1"/>
    <col min="10" max="10" width="2.1796875" style="73" bestFit="1" customWidth="1"/>
    <col min="11" max="11" width="5.54296875" style="73" bestFit="1" customWidth="1"/>
    <col min="12" max="12" width="2.1796875" style="73" bestFit="1" customWidth="1"/>
    <col min="13" max="13" width="7.26953125" style="73" bestFit="1" customWidth="1"/>
    <col min="14" max="16384" width="9.1796875" style="73"/>
  </cols>
  <sheetData>
    <row r="1" spans="1:13" ht="15.5">
      <c r="A1" s="72" t="s">
        <v>457</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458</v>
      </c>
      <c r="C3" s="73" t="s">
        <v>829</v>
      </c>
      <c r="E3" s="73">
        <v>55</v>
      </c>
      <c r="G3" s="73">
        <v>85</v>
      </c>
      <c r="I3" s="73">
        <v>17</v>
      </c>
      <c r="K3" s="73">
        <v>6</v>
      </c>
      <c r="M3" s="73">
        <v>31</v>
      </c>
    </row>
    <row r="4" spans="1:13">
      <c r="A4" s="73" t="s">
        <v>19</v>
      </c>
      <c r="B4" s="73" t="s">
        <v>458</v>
      </c>
      <c r="C4" s="73" t="s">
        <v>273</v>
      </c>
      <c r="E4" s="73">
        <v>414</v>
      </c>
      <c r="G4" s="75">
        <v>10083</v>
      </c>
      <c r="I4" s="73">
        <v>159</v>
      </c>
      <c r="K4" s="73">
        <v>11</v>
      </c>
      <c r="M4" s="73">
        <v>132</v>
      </c>
    </row>
    <row r="6" spans="1:13">
      <c r="A6" s="73" t="s">
        <v>20</v>
      </c>
      <c r="B6" s="73" t="s">
        <v>458</v>
      </c>
      <c r="C6" s="73" t="s">
        <v>829</v>
      </c>
      <c r="E6" s="73">
        <v>7</v>
      </c>
      <c r="G6" s="73">
        <v>2</v>
      </c>
      <c r="I6" s="73">
        <v>2</v>
      </c>
      <c r="K6" s="73">
        <v>13</v>
      </c>
      <c r="M6" s="73">
        <v>20</v>
      </c>
    </row>
    <row r="7" spans="1:13">
      <c r="A7" s="73" t="s">
        <v>20</v>
      </c>
      <c r="B7" s="73" t="s">
        <v>458</v>
      </c>
      <c r="C7" s="73" t="s">
        <v>273</v>
      </c>
      <c r="E7" s="73">
        <v>94</v>
      </c>
      <c r="G7" s="73">
        <v>16</v>
      </c>
      <c r="I7" s="73">
        <v>27</v>
      </c>
      <c r="K7" s="73">
        <v>127</v>
      </c>
      <c r="M7" s="75">
        <v>17495</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1DDE-A7BF-40FD-918D-C58AF1A95785}">
  <dimension ref="A1:M64"/>
  <sheetViews>
    <sheetView view="pageBreakPreview" zoomScaleNormal="100" zoomScaleSheetLayoutView="100" workbookViewId="0">
      <selection activeCell="B8" sqref="B8"/>
    </sheetView>
  </sheetViews>
  <sheetFormatPr defaultColWidth="9.1796875" defaultRowHeight="14"/>
  <cols>
    <col min="1" max="1" width="21" style="73" customWidth="1"/>
    <col min="2" max="2" width="28.26953125" style="73" bestFit="1" customWidth="1"/>
    <col min="3" max="3" width="15.26953125" style="73" bestFit="1" customWidth="1"/>
    <col min="4" max="4" width="3.453125" style="73" bestFit="1" customWidth="1"/>
    <col min="5" max="5" width="7.26953125" style="73" bestFit="1" customWidth="1"/>
    <col min="6" max="6" width="3.453125" style="73" bestFit="1" customWidth="1"/>
    <col min="7" max="7" width="7.26953125" style="73" bestFit="1" customWidth="1"/>
    <col min="8" max="8" width="3.453125" style="73" bestFit="1" customWidth="1"/>
    <col min="9" max="9" width="6.1796875" style="73" bestFit="1" customWidth="1"/>
    <col min="10" max="10" width="3.453125" style="73" bestFit="1" customWidth="1"/>
    <col min="11" max="11" width="6.1796875" style="73" bestFit="1" customWidth="1"/>
    <col min="12" max="12" width="3.453125" style="73" bestFit="1" customWidth="1"/>
    <col min="13" max="13" width="6.1796875" style="73" bestFit="1" customWidth="1"/>
    <col min="14" max="16384" width="9.1796875" style="73"/>
  </cols>
  <sheetData>
    <row r="1" spans="1:13" ht="15.5">
      <c r="A1" s="72" t="s">
        <v>459</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463</v>
      </c>
      <c r="C3" s="73" t="s">
        <v>829</v>
      </c>
      <c r="E3" s="75">
        <v>3731</v>
      </c>
      <c r="G3" s="75">
        <v>2280</v>
      </c>
      <c r="I3" s="75">
        <v>2233</v>
      </c>
      <c r="K3" s="75">
        <v>2188</v>
      </c>
      <c r="M3" s="75">
        <v>2754</v>
      </c>
    </row>
    <row r="4" spans="1:13">
      <c r="A4" s="73" t="s">
        <v>19</v>
      </c>
      <c r="B4" s="73" t="s">
        <v>463</v>
      </c>
      <c r="C4" s="73" t="s">
        <v>201</v>
      </c>
      <c r="E4" s="75">
        <v>7789</v>
      </c>
      <c r="G4" s="75">
        <v>5465</v>
      </c>
      <c r="I4" s="75">
        <v>4377</v>
      </c>
      <c r="K4" s="75">
        <v>3938</v>
      </c>
      <c r="M4" s="75">
        <v>4169</v>
      </c>
    </row>
    <row r="5" spans="1:13">
      <c r="A5" s="73" t="s">
        <v>19</v>
      </c>
      <c r="B5" s="73" t="s">
        <v>462</v>
      </c>
      <c r="C5" s="73" t="s">
        <v>829</v>
      </c>
      <c r="D5" s="73" t="s">
        <v>205</v>
      </c>
      <c r="E5" s="73">
        <v>87</v>
      </c>
      <c r="F5" s="73" t="s">
        <v>205</v>
      </c>
      <c r="G5" s="73">
        <v>319</v>
      </c>
      <c r="H5" s="73" t="s">
        <v>205</v>
      </c>
      <c r="I5" s="73">
        <v>257</v>
      </c>
      <c r="J5" s="73" t="s">
        <v>205</v>
      </c>
      <c r="K5" s="73">
        <v>986</v>
      </c>
      <c r="L5" s="73" t="s">
        <v>205</v>
      </c>
      <c r="M5" s="75">
        <v>1087</v>
      </c>
    </row>
    <row r="6" spans="1:13">
      <c r="A6" s="73" t="s">
        <v>19</v>
      </c>
      <c r="B6" s="73" t="s">
        <v>462</v>
      </c>
      <c r="C6" s="73" t="s">
        <v>201</v>
      </c>
      <c r="D6" s="73" t="s">
        <v>205</v>
      </c>
      <c r="E6" s="73">
        <v>271</v>
      </c>
      <c r="F6" s="73" t="s">
        <v>205</v>
      </c>
      <c r="G6" s="75">
        <v>1065</v>
      </c>
      <c r="H6" s="73" t="s">
        <v>205</v>
      </c>
      <c r="I6" s="73">
        <v>748</v>
      </c>
      <c r="J6" s="73" t="s">
        <v>205</v>
      </c>
      <c r="K6" s="75">
        <v>2162</v>
      </c>
      <c r="L6" s="73" t="s">
        <v>205</v>
      </c>
      <c r="M6" s="75">
        <v>2808</v>
      </c>
    </row>
    <row r="7" spans="1:13">
      <c r="A7" s="73" t="s">
        <v>19</v>
      </c>
      <c r="B7" s="73" t="s">
        <v>461</v>
      </c>
      <c r="C7" s="73" t="s">
        <v>829</v>
      </c>
      <c r="G7" s="73">
        <v>0</v>
      </c>
      <c r="I7" s="73">
        <v>4</v>
      </c>
      <c r="K7" s="73">
        <v>0</v>
      </c>
      <c r="M7" s="73">
        <v>3</v>
      </c>
    </row>
    <row r="8" spans="1:13">
      <c r="A8" s="73" t="s">
        <v>19</v>
      </c>
      <c r="B8" s="73" t="s">
        <v>461</v>
      </c>
      <c r="C8" s="73" t="s">
        <v>201</v>
      </c>
      <c r="G8" s="73">
        <v>0</v>
      </c>
      <c r="I8" s="73">
        <v>0</v>
      </c>
      <c r="K8" s="73">
        <v>0</v>
      </c>
      <c r="M8" s="73">
        <v>0</v>
      </c>
    </row>
    <row r="9" spans="1:13">
      <c r="A9" s="73" t="s">
        <v>19</v>
      </c>
      <c r="B9" s="73" t="s">
        <v>460</v>
      </c>
      <c r="C9" s="73" t="s">
        <v>829</v>
      </c>
      <c r="E9" s="75">
        <v>4509</v>
      </c>
      <c r="G9" s="75">
        <v>3809</v>
      </c>
      <c r="I9" s="75">
        <v>3815</v>
      </c>
      <c r="K9" s="75">
        <v>5922</v>
      </c>
      <c r="M9" s="75">
        <v>6821</v>
      </c>
    </row>
    <row r="10" spans="1:13">
      <c r="A10" s="73" t="s">
        <v>19</v>
      </c>
      <c r="B10" s="73" t="s">
        <v>460</v>
      </c>
      <c r="C10" s="73" t="s">
        <v>201</v>
      </c>
      <c r="E10" s="75">
        <v>1212</v>
      </c>
      <c r="G10" s="73">
        <v>972</v>
      </c>
      <c r="I10" s="73">
        <v>843</v>
      </c>
      <c r="K10" s="75">
        <v>1032</v>
      </c>
      <c r="M10" s="75">
        <v>1063</v>
      </c>
    </row>
    <row r="12" spans="1:13">
      <c r="A12" s="73" t="s">
        <v>20</v>
      </c>
      <c r="B12" s="73" t="s">
        <v>463</v>
      </c>
      <c r="C12" s="73" t="s">
        <v>829</v>
      </c>
      <c r="E12" s="75">
        <v>5063</v>
      </c>
      <c r="G12" s="75">
        <v>4817</v>
      </c>
      <c r="I12" s="75">
        <v>4352</v>
      </c>
      <c r="K12" s="75">
        <v>4396</v>
      </c>
      <c r="M12" s="75">
        <v>4424</v>
      </c>
    </row>
    <row r="13" spans="1:13">
      <c r="A13" s="73" t="s">
        <v>20</v>
      </c>
      <c r="B13" s="73" t="s">
        <v>463</v>
      </c>
      <c r="C13" s="73" t="s">
        <v>201</v>
      </c>
      <c r="E13" s="75">
        <v>4863</v>
      </c>
      <c r="G13" s="75">
        <v>4650</v>
      </c>
      <c r="I13" s="75">
        <v>3666</v>
      </c>
      <c r="K13" s="75">
        <v>3677</v>
      </c>
      <c r="M13" s="75">
        <v>3139</v>
      </c>
    </row>
    <row r="14" spans="1:13">
      <c r="A14" s="73" t="s">
        <v>20</v>
      </c>
      <c r="B14" s="73" t="s">
        <v>462</v>
      </c>
      <c r="C14" s="73" t="s">
        <v>829</v>
      </c>
      <c r="D14" s="73" t="s">
        <v>205</v>
      </c>
      <c r="E14" s="73">
        <v>20</v>
      </c>
      <c r="F14" s="73" t="s">
        <v>205</v>
      </c>
      <c r="G14" s="73">
        <v>46</v>
      </c>
      <c r="H14" s="73" t="s">
        <v>205</v>
      </c>
      <c r="I14" s="73">
        <v>20</v>
      </c>
      <c r="J14" s="73" t="s">
        <v>205</v>
      </c>
      <c r="K14" s="73">
        <v>12</v>
      </c>
      <c r="L14" s="73" t="s">
        <v>205</v>
      </c>
      <c r="M14" s="73">
        <v>6</v>
      </c>
    </row>
    <row r="15" spans="1:13">
      <c r="A15" s="73" t="s">
        <v>20</v>
      </c>
      <c r="B15" s="73" t="s">
        <v>462</v>
      </c>
      <c r="C15" s="73" t="s">
        <v>201</v>
      </c>
      <c r="D15" s="73" t="s">
        <v>205</v>
      </c>
      <c r="E15" s="73">
        <v>8</v>
      </c>
      <c r="F15" s="73" t="s">
        <v>205</v>
      </c>
      <c r="G15" s="73">
        <v>17</v>
      </c>
      <c r="H15" s="73" t="s">
        <v>205</v>
      </c>
      <c r="I15" s="73">
        <v>5</v>
      </c>
      <c r="J15" s="73" t="s">
        <v>205</v>
      </c>
      <c r="K15" s="73">
        <v>1</v>
      </c>
      <c r="L15" s="73" t="s">
        <v>205</v>
      </c>
      <c r="M15" s="73">
        <v>0</v>
      </c>
    </row>
    <row r="16" spans="1:13">
      <c r="A16" s="73" t="s">
        <v>20</v>
      </c>
      <c r="B16" s="73" t="s">
        <v>461</v>
      </c>
      <c r="C16" s="73" t="s">
        <v>829</v>
      </c>
      <c r="E16" s="73">
        <v>0</v>
      </c>
      <c r="G16" s="73">
        <v>5</v>
      </c>
      <c r="I16" s="73">
        <v>0</v>
      </c>
      <c r="K16" s="73">
        <v>26</v>
      </c>
      <c r="M16" s="73">
        <v>17</v>
      </c>
    </row>
    <row r="17" spans="1:13">
      <c r="A17" s="73" t="s">
        <v>20</v>
      </c>
      <c r="B17" s="73" t="s">
        <v>461</v>
      </c>
      <c r="C17" s="73" t="s">
        <v>201</v>
      </c>
      <c r="E17" s="73">
        <v>0</v>
      </c>
      <c r="G17" s="73">
        <v>7</v>
      </c>
      <c r="I17" s="73">
        <v>0</v>
      </c>
      <c r="K17" s="73">
        <v>5</v>
      </c>
      <c r="M17" s="73">
        <v>1</v>
      </c>
    </row>
    <row r="18" spans="1:13">
      <c r="A18" s="73" t="s">
        <v>20</v>
      </c>
      <c r="B18" s="73" t="s">
        <v>460</v>
      </c>
      <c r="C18" s="73" t="s">
        <v>829</v>
      </c>
      <c r="E18" s="75">
        <v>11708</v>
      </c>
      <c r="G18" s="75">
        <v>11193</v>
      </c>
      <c r="I18" s="75">
        <v>9541</v>
      </c>
      <c r="K18" s="75">
        <v>9323</v>
      </c>
      <c r="M18" s="75">
        <v>4147</v>
      </c>
    </row>
    <row r="19" spans="1:13">
      <c r="A19" s="73" t="s">
        <v>20</v>
      </c>
      <c r="B19" s="73" t="s">
        <v>460</v>
      </c>
      <c r="C19" s="73" t="s">
        <v>201</v>
      </c>
      <c r="E19" s="73">
        <v>904</v>
      </c>
      <c r="G19" s="73">
        <v>997</v>
      </c>
      <c r="I19" s="73">
        <v>808</v>
      </c>
      <c r="K19" s="73">
        <v>899</v>
      </c>
      <c r="M19" s="73">
        <v>419</v>
      </c>
    </row>
    <row r="20" spans="1:13">
      <c r="A20" s="76"/>
      <c r="B20" s="76"/>
      <c r="C20" s="76"/>
      <c r="D20" s="76"/>
      <c r="E20" s="76"/>
      <c r="F20" s="76"/>
      <c r="G20" s="76"/>
      <c r="H20" s="76"/>
      <c r="I20" s="76"/>
      <c r="J20" s="76"/>
      <c r="K20" s="76"/>
      <c r="L20" s="76"/>
      <c r="M20" s="76"/>
    </row>
    <row r="22" spans="1:13">
      <c r="A22" s="73" t="s">
        <v>14</v>
      </c>
      <c r="B22" s="73" t="s">
        <v>15</v>
      </c>
    </row>
    <row r="23" spans="1:13">
      <c r="A23" s="73" t="s">
        <v>214</v>
      </c>
      <c r="B23" s="73" t="s">
        <v>464</v>
      </c>
    </row>
    <row r="25" spans="1:13" ht="31.5" customHeight="1">
      <c r="A25" s="111" t="s">
        <v>799</v>
      </c>
      <c r="B25" s="111"/>
      <c r="C25" s="111"/>
      <c r="D25" s="111"/>
      <c r="E25" s="111"/>
      <c r="F25" s="111"/>
      <c r="G25" s="111"/>
      <c r="H25" s="111"/>
      <c r="I25" s="111"/>
      <c r="J25" s="111"/>
      <c r="K25" s="111"/>
      <c r="L25" s="111"/>
    </row>
    <row r="28" spans="1:13">
      <c r="A28" s="77" t="str">
        <f>HYPERLINK("[UKMY 2023 PrintableV1.1 12_09_24.xlsx]Contents!A1","Return to contents page")</f>
        <v>Return to contents page</v>
      </c>
    </row>
    <row r="64" spans="5:5">
      <c r="E64" s="78"/>
    </row>
  </sheetData>
  <sortState xmlns:xlrd2="http://schemas.microsoft.com/office/spreadsheetml/2017/richdata2" ref="A3:M19">
    <sortCondition ref="A12:A19"/>
    <sortCondition ref="B12:B19"/>
  </sortState>
  <mergeCells count="1">
    <mergeCell ref="A25:L25"/>
  </mergeCell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DAF6B-9B04-4C45-AB31-3EC720ABFD5E}">
  <dimension ref="A1:M64"/>
  <sheetViews>
    <sheetView view="pageBreakPreview" zoomScaleNormal="100" zoomScaleSheetLayoutView="100" workbookViewId="0">
      <selection activeCell="B41" sqref="B41"/>
    </sheetView>
  </sheetViews>
  <sheetFormatPr defaultColWidth="9.1796875" defaultRowHeight="14"/>
  <cols>
    <col min="1" max="1" width="13.26953125" style="73" customWidth="1"/>
    <col min="2" max="2" width="33.26953125" style="79" customWidth="1"/>
    <col min="3" max="3" width="16.26953125" style="79" customWidth="1"/>
    <col min="4" max="4" width="5.453125" style="73" bestFit="1" customWidth="1"/>
    <col min="5" max="5" width="8.453125" style="73" bestFit="1" customWidth="1"/>
    <col min="6" max="6" width="5.453125" style="73" bestFit="1" customWidth="1"/>
    <col min="7" max="7" width="8.453125" style="73" bestFit="1" customWidth="1"/>
    <col min="8" max="8" width="5.453125" style="73" bestFit="1" customWidth="1"/>
    <col min="9" max="9" width="7.26953125" style="73" bestFit="1" customWidth="1"/>
    <col min="10" max="10" width="5.453125" style="73" bestFit="1" customWidth="1"/>
    <col min="11" max="11" width="8.453125" style="73" bestFit="1" customWidth="1"/>
    <col min="12" max="12" width="5.453125" style="73" bestFit="1" customWidth="1"/>
    <col min="13" max="13" width="8.453125" style="73" bestFit="1" customWidth="1"/>
    <col min="14" max="16384" width="9.1796875" style="73"/>
  </cols>
  <sheetData>
    <row r="1" spans="1:13" ht="15.5">
      <c r="A1" s="72" t="s">
        <v>465</v>
      </c>
    </row>
    <row r="2" spans="1:13">
      <c r="A2" s="74" t="s">
        <v>670</v>
      </c>
      <c r="B2" s="80" t="s">
        <v>0</v>
      </c>
      <c r="C2" s="80" t="s">
        <v>669</v>
      </c>
      <c r="D2" s="74" t="s">
        <v>1</v>
      </c>
      <c r="E2" s="74">
        <v>2018</v>
      </c>
      <c r="F2" s="74" t="s">
        <v>1</v>
      </c>
      <c r="G2" s="74">
        <v>2019</v>
      </c>
      <c r="H2" s="74" t="s">
        <v>1</v>
      </c>
      <c r="I2" s="74">
        <v>2020</v>
      </c>
      <c r="J2" s="74" t="s">
        <v>1</v>
      </c>
      <c r="K2" s="74">
        <v>2021</v>
      </c>
      <c r="L2" s="74" t="s">
        <v>1</v>
      </c>
      <c r="M2" s="74">
        <v>2022</v>
      </c>
    </row>
    <row r="3" spans="1:13" ht="28">
      <c r="A3" s="79" t="s">
        <v>300</v>
      </c>
      <c r="B3" s="79" t="s">
        <v>473</v>
      </c>
      <c r="C3" s="79" t="s">
        <v>326</v>
      </c>
      <c r="D3" s="73" t="s">
        <v>327</v>
      </c>
      <c r="E3" s="75">
        <v>1200</v>
      </c>
      <c r="F3" s="73" t="s">
        <v>327</v>
      </c>
      <c r="G3" s="75">
        <v>2100</v>
      </c>
      <c r="H3" s="73" t="s">
        <v>327</v>
      </c>
      <c r="I3" s="75">
        <v>1300</v>
      </c>
      <c r="J3" s="73" t="s">
        <v>327</v>
      </c>
      <c r="K3" s="75">
        <v>2300</v>
      </c>
      <c r="L3" s="73" t="s">
        <v>327</v>
      </c>
      <c r="M3" s="75">
        <v>1700</v>
      </c>
    </row>
    <row r="4" spans="1:13">
      <c r="E4" s="75"/>
      <c r="G4" s="75"/>
      <c r="I4" s="75"/>
      <c r="K4" s="75"/>
      <c r="M4" s="75"/>
    </row>
    <row r="5" spans="1:13" ht="28">
      <c r="A5" s="73" t="s">
        <v>19</v>
      </c>
      <c r="B5" s="79" t="s">
        <v>474</v>
      </c>
      <c r="C5" s="79" t="s">
        <v>829</v>
      </c>
      <c r="E5" s="75">
        <v>3373</v>
      </c>
      <c r="G5" s="75">
        <v>5919</v>
      </c>
      <c r="I5" s="75">
        <v>3258</v>
      </c>
      <c r="K5" s="75">
        <v>2512</v>
      </c>
      <c r="M5" s="75">
        <v>11482</v>
      </c>
    </row>
    <row r="6" spans="1:13" ht="28">
      <c r="A6" s="73" t="s">
        <v>19</v>
      </c>
      <c r="B6" s="79" t="s">
        <v>474</v>
      </c>
      <c r="C6" s="79" t="s">
        <v>201</v>
      </c>
      <c r="E6" s="73">
        <v>267</v>
      </c>
      <c r="G6" s="73">
        <v>419</v>
      </c>
      <c r="I6" s="73">
        <v>271</v>
      </c>
      <c r="K6" s="73">
        <v>159</v>
      </c>
      <c r="M6" s="73">
        <v>446</v>
      </c>
    </row>
    <row r="7" spans="1:13" ht="28">
      <c r="A7" s="73" t="s">
        <v>19</v>
      </c>
      <c r="B7" s="79" t="s">
        <v>472</v>
      </c>
      <c r="C7" s="79" t="s">
        <v>829</v>
      </c>
      <c r="E7" s="73">
        <v>176</v>
      </c>
      <c r="G7" s="73">
        <v>827</v>
      </c>
      <c r="I7" s="73">
        <v>121</v>
      </c>
      <c r="K7" s="73">
        <v>80</v>
      </c>
      <c r="M7" s="73">
        <v>27</v>
      </c>
    </row>
    <row r="8" spans="1:13" ht="28">
      <c r="A8" s="73" t="s">
        <v>19</v>
      </c>
      <c r="B8" s="79" t="s">
        <v>472</v>
      </c>
      <c r="C8" s="79" t="s">
        <v>201</v>
      </c>
      <c r="E8" s="73">
        <v>11</v>
      </c>
      <c r="G8" s="73">
        <v>94</v>
      </c>
      <c r="I8" s="73">
        <v>5</v>
      </c>
      <c r="K8" s="73">
        <v>2</v>
      </c>
      <c r="M8" s="73">
        <v>1</v>
      </c>
    </row>
    <row r="9" spans="1:13">
      <c r="A9" s="73" t="s">
        <v>19</v>
      </c>
      <c r="B9" s="79" t="s">
        <v>471</v>
      </c>
      <c r="C9" s="79" t="s">
        <v>829</v>
      </c>
      <c r="E9" s="75">
        <v>15485</v>
      </c>
      <c r="G9" s="75">
        <v>16375</v>
      </c>
      <c r="I9" s="75">
        <v>11866</v>
      </c>
      <c r="K9" s="75">
        <v>13537</v>
      </c>
      <c r="M9" s="75">
        <v>9246</v>
      </c>
    </row>
    <row r="10" spans="1:13">
      <c r="A10" s="73" t="s">
        <v>19</v>
      </c>
      <c r="B10" s="79" t="s">
        <v>471</v>
      </c>
      <c r="C10" s="79" t="s">
        <v>201</v>
      </c>
      <c r="E10" s="75">
        <v>1301</v>
      </c>
      <c r="G10" s="75">
        <v>1556</v>
      </c>
      <c r="I10" s="75">
        <v>1232</v>
      </c>
      <c r="K10" s="75">
        <v>1096</v>
      </c>
      <c r="M10" s="73">
        <v>475</v>
      </c>
    </row>
    <row r="11" spans="1:13">
      <c r="A11" s="73" t="s">
        <v>19</v>
      </c>
      <c r="B11" s="79" t="s">
        <v>470</v>
      </c>
      <c r="C11" s="79" t="s">
        <v>829</v>
      </c>
      <c r="E11" s="75">
        <v>1407</v>
      </c>
      <c r="G11" s="75">
        <v>3832</v>
      </c>
      <c r="I11" s="75">
        <v>2599</v>
      </c>
      <c r="K11" s="73">
        <v>938</v>
      </c>
      <c r="M11" s="75">
        <v>3494</v>
      </c>
    </row>
    <row r="12" spans="1:13">
      <c r="A12" s="73" t="s">
        <v>19</v>
      </c>
      <c r="B12" s="79" t="s">
        <v>470</v>
      </c>
      <c r="C12" s="79" t="s">
        <v>201</v>
      </c>
      <c r="E12" s="73">
        <v>55</v>
      </c>
      <c r="G12" s="73">
        <v>133</v>
      </c>
      <c r="I12" s="73">
        <v>91</v>
      </c>
      <c r="K12" s="73">
        <v>32</v>
      </c>
      <c r="M12" s="73">
        <v>92</v>
      </c>
    </row>
    <row r="13" spans="1:13" ht="28">
      <c r="A13" s="73" t="s">
        <v>19</v>
      </c>
      <c r="B13" s="79" t="s">
        <v>469</v>
      </c>
      <c r="C13" s="79" t="s">
        <v>829</v>
      </c>
      <c r="E13" s="75">
        <v>160297</v>
      </c>
      <c r="G13" s="75">
        <v>164155</v>
      </c>
      <c r="I13" s="75">
        <v>68451</v>
      </c>
      <c r="K13" s="75">
        <v>150724</v>
      </c>
      <c r="M13" s="75">
        <v>213683</v>
      </c>
    </row>
    <row r="14" spans="1:13" ht="28">
      <c r="A14" s="73" t="s">
        <v>19</v>
      </c>
      <c r="B14" s="79" t="s">
        <v>469</v>
      </c>
      <c r="C14" s="79" t="s">
        <v>201</v>
      </c>
      <c r="E14" s="75">
        <v>14040</v>
      </c>
      <c r="G14" s="75">
        <v>12896</v>
      </c>
      <c r="I14" s="75">
        <v>7457</v>
      </c>
      <c r="K14" s="75">
        <v>12315</v>
      </c>
      <c r="M14" s="75">
        <v>11109</v>
      </c>
    </row>
    <row r="15" spans="1:13">
      <c r="A15" s="73" t="s">
        <v>19</v>
      </c>
      <c r="B15" s="79" t="s">
        <v>468</v>
      </c>
      <c r="C15" s="79" t="s">
        <v>829</v>
      </c>
      <c r="E15" s="75">
        <v>33480</v>
      </c>
      <c r="G15" s="75">
        <v>43012</v>
      </c>
      <c r="I15" s="75">
        <v>30238</v>
      </c>
      <c r="K15" s="75">
        <v>40645</v>
      </c>
      <c r="M15" s="75">
        <v>67686</v>
      </c>
    </row>
    <row r="16" spans="1:13">
      <c r="A16" s="73" t="s">
        <v>19</v>
      </c>
      <c r="B16" s="79" t="s">
        <v>468</v>
      </c>
      <c r="C16" s="79" t="s">
        <v>201</v>
      </c>
      <c r="E16" s="75">
        <v>1719</v>
      </c>
      <c r="G16" s="75">
        <v>2010</v>
      </c>
      <c r="I16" s="75">
        <v>1607</v>
      </c>
      <c r="K16" s="75">
        <v>1607</v>
      </c>
      <c r="M16" s="75">
        <v>2014</v>
      </c>
    </row>
    <row r="17" spans="1:13">
      <c r="A17" s="73" t="s">
        <v>19</v>
      </c>
      <c r="B17" s="79" t="s">
        <v>467</v>
      </c>
      <c r="C17" s="79" t="s">
        <v>829</v>
      </c>
      <c r="E17" s="75">
        <v>4078</v>
      </c>
      <c r="G17" s="75">
        <v>7588</v>
      </c>
      <c r="I17" s="75">
        <v>3452</v>
      </c>
      <c r="K17" s="75">
        <v>4821</v>
      </c>
      <c r="M17" s="75">
        <v>9569</v>
      </c>
    </row>
    <row r="18" spans="1:13">
      <c r="A18" s="73" t="s">
        <v>19</v>
      </c>
      <c r="B18" s="79" t="s">
        <v>467</v>
      </c>
      <c r="C18" s="79" t="s">
        <v>201</v>
      </c>
      <c r="E18" s="73">
        <v>182</v>
      </c>
      <c r="G18" s="73">
        <v>331</v>
      </c>
      <c r="I18" s="73">
        <v>146</v>
      </c>
      <c r="K18" s="73">
        <v>197</v>
      </c>
      <c r="M18" s="73">
        <v>260</v>
      </c>
    </row>
    <row r="19" spans="1:13">
      <c r="A19" s="73" t="s">
        <v>19</v>
      </c>
      <c r="B19" s="79" t="s">
        <v>466</v>
      </c>
      <c r="C19" s="79" t="s">
        <v>829</v>
      </c>
      <c r="E19" s="75">
        <v>3210</v>
      </c>
      <c r="G19" s="75">
        <v>2921</v>
      </c>
      <c r="I19" s="75">
        <v>1775</v>
      </c>
      <c r="K19" s="75">
        <v>2451</v>
      </c>
      <c r="M19" s="75">
        <v>7655</v>
      </c>
    </row>
    <row r="20" spans="1:13">
      <c r="A20" s="73" t="s">
        <v>19</v>
      </c>
      <c r="B20" s="79" t="s">
        <v>466</v>
      </c>
      <c r="C20" s="79" t="s">
        <v>201</v>
      </c>
      <c r="E20" s="73">
        <v>58</v>
      </c>
      <c r="G20" s="73">
        <v>34</v>
      </c>
      <c r="I20" s="73">
        <v>114</v>
      </c>
      <c r="K20" s="73">
        <v>122</v>
      </c>
      <c r="M20" s="73">
        <v>111</v>
      </c>
    </row>
    <row r="22" spans="1:13" ht="28">
      <c r="A22" s="73" t="s">
        <v>20</v>
      </c>
      <c r="B22" s="79" t="s">
        <v>474</v>
      </c>
      <c r="C22" s="79" t="s">
        <v>829</v>
      </c>
      <c r="E22" s="75">
        <v>187460</v>
      </c>
      <c r="G22" s="75">
        <v>179493</v>
      </c>
      <c r="I22" s="75">
        <v>80876</v>
      </c>
      <c r="K22" s="75">
        <v>168488</v>
      </c>
      <c r="M22" s="75">
        <v>238387</v>
      </c>
    </row>
    <row r="23" spans="1:13" ht="28">
      <c r="A23" s="73" t="s">
        <v>20</v>
      </c>
      <c r="B23" s="79" t="s">
        <v>474</v>
      </c>
      <c r="C23" s="79" t="s">
        <v>201</v>
      </c>
      <c r="E23" s="75">
        <v>13301</v>
      </c>
      <c r="G23" s="75">
        <v>12236</v>
      </c>
      <c r="I23" s="75">
        <v>7317</v>
      </c>
      <c r="K23" s="75">
        <v>9687</v>
      </c>
      <c r="M23" s="75">
        <v>9903</v>
      </c>
    </row>
    <row r="24" spans="1:13" ht="28">
      <c r="A24" s="73" t="s">
        <v>20</v>
      </c>
      <c r="B24" s="79" t="s">
        <v>472</v>
      </c>
      <c r="C24" s="79" t="s">
        <v>829</v>
      </c>
      <c r="E24" s="73">
        <v>16</v>
      </c>
      <c r="G24" s="73">
        <v>0</v>
      </c>
      <c r="I24" s="73">
        <v>11</v>
      </c>
      <c r="K24" s="73">
        <v>59</v>
      </c>
      <c r="M24" s="73">
        <v>121</v>
      </c>
    </row>
    <row r="25" spans="1:13" ht="28">
      <c r="A25" s="73" t="s">
        <v>20</v>
      </c>
      <c r="B25" s="79" t="s">
        <v>472</v>
      </c>
      <c r="C25" s="79" t="s">
        <v>201</v>
      </c>
      <c r="E25" s="73">
        <v>12</v>
      </c>
      <c r="G25" s="73">
        <v>0</v>
      </c>
      <c r="I25" s="73">
        <v>1</v>
      </c>
      <c r="K25" s="73">
        <v>8</v>
      </c>
      <c r="M25" s="73">
        <v>40</v>
      </c>
    </row>
    <row r="26" spans="1:13">
      <c r="A26" s="73" t="s">
        <v>20</v>
      </c>
      <c r="B26" s="79" t="s">
        <v>471</v>
      </c>
      <c r="C26" s="79" t="s">
        <v>829</v>
      </c>
      <c r="E26" s="73">
        <v>9</v>
      </c>
      <c r="G26" s="73">
        <v>45</v>
      </c>
      <c r="I26" s="73">
        <v>8</v>
      </c>
      <c r="K26" s="73">
        <v>39</v>
      </c>
      <c r="M26" s="73">
        <v>10</v>
      </c>
    </row>
    <row r="27" spans="1:13">
      <c r="A27" s="73" t="s">
        <v>20</v>
      </c>
      <c r="B27" s="79" t="s">
        <v>471</v>
      </c>
      <c r="C27" s="79" t="s">
        <v>201</v>
      </c>
      <c r="E27" s="73">
        <v>0</v>
      </c>
      <c r="G27" s="73">
        <v>2</v>
      </c>
      <c r="I27" s="73">
        <v>0</v>
      </c>
      <c r="K27" s="73">
        <v>11</v>
      </c>
      <c r="M27" s="73">
        <v>0</v>
      </c>
    </row>
    <row r="28" spans="1:13">
      <c r="A28" s="73" t="s">
        <v>20</v>
      </c>
      <c r="B28" s="79" t="s">
        <v>470</v>
      </c>
      <c r="C28" s="79" t="s">
        <v>829</v>
      </c>
      <c r="E28" s="75">
        <v>2137</v>
      </c>
      <c r="G28" s="75">
        <v>3003</v>
      </c>
      <c r="I28" s="73">
        <v>493</v>
      </c>
      <c r="K28" s="73">
        <v>666</v>
      </c>
      <c r="M28" s="75">
        <v>2255</v>
      </c>
    </row>
    <row r="29" spans="1:13">
      <c r="A29" s="73" t="s">
        <v>20</v>
      </c>
      <c r="B29" s="79" t="s">
        <v>470</v>
      </c>
      <c r="C29" s="79" t="s">
        <v>201</v>
      </c>
      <c r="E29" s="73">
        <v>153</v>
      </c>
      <c r="G29" s="73">
        <v>160</v>
      </c>
      <c r="I29" s="73">
        <v>18</v>
      </c>
      <c r="K29" s="73">
        <v>23</v>
      </c>
      <c r="M29" s="73">
        <v>62</v>
      </c>
    </row>
    <row r="30" spans="1:13" ht="28">
      <c r="A30" s="73" t="s">
        <v>20</v>
      </c>
      <c r="B30" s="79" t="s">
        <v>469</v>
      </c>
      <c r="C30" s="79" t="s">
        <v>829</v>
      </c>
      <c r="E30" s="73">
        <v>173</v>
      </c>
      <c r="G30" s="75">
        <v>1466</v>
      </c>
      <c r="I30" s="75">
        <v>5183</v>
      </c>
      <c r="K30" s="75">
        <v>8059</v>
      </c>
      <c r="M30" s="73">
        <v>362</v>
      </c>
    </row>
    <row r="31" spans="1:13" ht="28">
      <c r="A31" s="73" t="s">
        <v>20</v>
      </c>
      <c r="B31" s="79" t="s">
        <v>469</v>
      </c>
      <c r="C31" s="79" t="s">
        <v>201</v>
      </c>
      <c r="E31" s="73">
        <v>15</v>
      </c>
      <c r="G31" s="73">
        <v>120</v>
      </c>
      <c r="I31" s="73">
        <v>530</v>
      </c>
      <c r="K31" s="73">
        <v>684</v>
      </c>
      <c r="M31" s="73">
        <v>18</v>
      </c>
    </row>
    <row r="32" spans="1:13">
      <c r="A32" s="73" t="s">
        <v>20</v>
      </c>
      <c r="B32" s="79" t="s">
        <v>468</v>
      </c>
      <c r="C32" s="79" t="s">
        <v>829</v>
      </c>
      <c r="E32" s="75">
        <v>25967</v>
      </c>
      <c r="G32" s="75">
        <v>35567</v>
      </c>
      <c r="I32" s="75">
        <v>18914</v>
      </c>
      <c r="K32" s="75">
        <v>35084</v>
      </c>
      <c r="M32" s="75">
        <v>61229</v>
      </c>
    </row>
    <row r="33" spans="1:13">
      <c r="A33" s="73" t="s">
        <v>20</v>
      </c>
      <c r="B33" s="79" t="s">
        <v>468</v>
      </c>
      <c r="C33" s="79" t="s">
        <v>201</v>
      </c>
      <c r="E33" s="75">
        <v>1744</v>
      </c>
      <c r="G33" s="75">
        <v>1399</v>
      </c>
      <c r="I33" s="73">
        <v>890</v>
      </c>
      <c r="K33" s="75">
        <v>1297</v>
      </c>
      <c r="M33" s="75">
        <v>1671</v>
      </c>
    </row>
    <row r="34" spans="1:13">
      <c r="A34" s="73" t="s">
        <v>20</v>
      </c>
      <c r="B34" s="79" t="s">
        <v>467</v>
      </c>
      <c r="C34" s="79" t="s">
        <v>829</v>
      </c>
      <c r="E34" s="75">
        <v>1285</v>
      </c>
      <c r="G34" s="75">
        <v>5948</v>
      </c>
      <c r="I34" s="75">
        <v>5078</v>
      </c>
      <c r="K34" s="75">
        <v>3941</v>
      </c>
      <c r="M34" s="75">
        <v>4125</v>
      </c>
    </row>
    <row r="35" spans="1:13">
      <c r="A35" s="73" t="s">
        <v>20</v>
      </c>
      <c r="B35" s="79" t="s">
        <v>467</v>
      </c>
      <c r="C35" s="79" t="s">
        <v>201</v>
      </c>
      <c r="E35" s="73">
        <v>52</v>
      </c>
      <c r="G35" s="73">
        <v>197</v>
      </c>
      <c r="I35" s="73">
        <v>254</v>
      </c>
      <c r="K35" s="73">
        <v>127</v>
      </c>
      <c r="M35" s="73">
        <v>97</v>
      </c>
    </row>
    <row r="36" spans="1:13">
      <c r="A36" s="73" t="s">
        <v>20</v>
      </c>
      <c r="B36" s="79" t="s">
        <v>466</v>
      </c>
      <c r="C36" s="79" t="s">
        <v>829</v>
      </c>
      <c r="E36" s="73">
        <v>815</v>
      </c>
      <c r="G36" s="73">
        <v>841</v>
      </c>
      <c r="I36" s="73">
        <v>489</v>
      </c>
      <c r="K36" s="75">
        <v>1136</v>
      </c>
      <c r="M36" s="75">
        <v>1541</v>
      </c>
    </row>
    <row r="37" spans="1:13">
      <c r="A37" s="73" t="s">
        <v>20</v>
      </c>
      <c r="B37" s="79" t="s">
        <v>466</v>
      </c>
      <c r="C37" s="79" t="s">
        <v>201</v>
      </c>
      <c r="E37" s="73">
        <v>14</v>
      </c>
      <c r="G37" s="73">
        <v>9</v>
      </c>
      <c r="I37" s="73">
        <v>3</v>
      </c>
      <c r="K37" s="73">
        <v>18</v>
      </c>
      <c r="M37" s="73">
        <v>66</v>
      </c>
    </row>
    <row r="38" spans="1:13">
      <c r="A38" s="76"/>
      <c r="B38" s="81"/>
      <c r="C38" s="81"/>
      <c r="D38" s="76"/>
      <c r="E38" s="76"/>
      <c r="F38" s="76"/>
      <c r="G38" s="76"/>
      <c r="H38" s="76"/>
      <c r="I38" s="76"/>
      <c r="J38" s="76"/>
      <c r="K38" s="76"/>
      <c r="L38" s="76"/>
      <c r="M38" s="76"/>
    </row>
    <row r="40" spans="1:13">
      <c r="A40" s="73" t="s">
        <v>14</v>
      </c>
      <c r="B40" s="79" t="s">
        <v>15</v>
      </c>
    </row>
    <row r="41" spans="1:13">
      <c r="A41" s="73" t="s">
        <v>214</v>
      </c>
      <c r="B41" s="79" t="s">
        <v>333</v>
      </c>
    </row>
    <row r="42" spans="1:13">
      <c r="A42" s="73" t="s">
        <v>215</v>
      </c>
      <c r="B42" s="113" t="s">
        <v>334</v>
      </c>
      <c r="C42" s="113"/>
      <c r="D42" s="113"/>
      <c r="E42" s="113"/>
      <c r="F42" s="113"/>
    </row>
    <row r="45" spans="1:13">
      <c r="A45" s="77" t="str">
        <f>HYPERLINK("[UKMY 2023 PrintableV1.1 12_09_24.xlsx]Contents!A1","Return to contents page")</f>
        <v>Return to contents page</v>
      </c>
    </row>
    <row r="64" spans="5:5">
      <c r="E64" s="78"/>
    </row>
  </sheetData>
  <sortState xmlns:xlrd2="http://schemas.microsoft.com/office/spreadsheetml/2017/richdata2" ref="A3:M37">
    <sortCondition ref="A3:A37"/>
    <sortCondition ref="B3:B37"/>
  </sortState>
  <mergeCells count="1">
    <mergeCell ref="B42:F42"/>
  </mergeCell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13CF-9089-4730-BCC9-95586E2B853D}">
  <dimension ref="A1:M64"/>
  <sheetViews>
    <sheetView view="pageBreakPreview" zoomScaleNormal="100" zoomScaleSheetLayoutView="100" workbookViewId="0">
      <selection activeCell="B2" sqref="B2"/>
    </sheetView>
  </sheetViews>
  <sheetFormatPr defaultColWidth="9.1796875" defaultRowHeight="14"/>
  <cols>
    <col min="1" max="1" width="17.81640625" style="73" customWidth="1"/>
    <col min="2" max="2" width="49.7265625" style="73" bestFit="1" customWidth="1"/>
    <col min="3" max="3" width="15.26953125" style="73" bestFit="1" customWidth="1"/>
    <col min="4" max="4" width="2.1796875" style="73" bestFit="1" customWidth="1"/>
    <col min="5" max="5" width="7.26953125" style="73" bestFit="1" customWidth="1"/>
    <col min="6" max="6" width="2.1796875" style="73" bestFit="1" customWidth="1"/>
    <col min="7" max="7" width="7.26953125" style="73" bestFit="1" customWidth="1"/>
    <col min="8" max="8" width="2.1796875" style="73" bestFit="1" customWidth="1"/>
    <col min="9" max="9" width="7.26953125" style="73" bestFit="1" customWidth="1"/>
    <col min="10" max="10" width="2.1796875"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475</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362</v>
      </c>
      <c r="C3" s="73" t="s">
        <v>829</v>
      </c>
      <c r="E3" s="75">
        <v>3474</v>
      </c>
      <c r="G3" s="75">
        <v>3018</v>
      </c>
      <c r="I3" s="75">
        <v>2129</v>
      </c>
      <c r="K3" s="75">
        <v>2411</v>
      </c>
      <c r="M3" s="75">
        <v>2271</v>
      </c>
    </row>
    <row r="4" spans="1:13">
      <c r="A4" s="73" t="s">
        <v>19</v>
      </c>
      <c r="B4" s="73" t="s">
        <v>362</v>
      </c>
      <c r="C4" s="73" t="s">
        <v>201</v>
      </c>
      <c r="E4" s="75">
        <v>36122</v>
      </c>
      <c r="G4" s="75">
        <v>28872</v>
      </c>
      <c r="I4" s="75">
        <v>19149</v>
      </c>
      <c r="K4" s="75">
        <v>22189</v>
      </c>
      <c r="M4" s="75">
        <v>23385</v>
      </c>
    </row>
    <row r="6" spans="1:13">
      <c r="A6" s="73" t="s">
        <v>20</v>
      </c>
      <c r="B6" s="73" t="s">
        <v>362</v>
      </c>
      <c r="C6" s="73" t="s">
        <v>829</v>
      </c>
      <c r="E6" s="73">
        <v>150</v>
      </c>
      <c r="G6" s="73">
        <v>99</v>
      </c>
      <c r="I6" s="73">
        <v>102</v>
      </c>
      <c r="K6" s="73">
        <v>172</v>
      </c>
      <c r="M6" s="73">
        <v>231</v>
      </c>
    </row>
    <row r="7" spans="1:13">
      <c r="A7" s="73" t="s">
        <v>20</v>
      </c>
      <c r="B7" s="73" t="s">
        <v>362</v>
      </c>
      <c r="C7" s="73" t="s">
        <v>201</v>
      </c>
      <c r="E7" s="73">
        <v>567</v>
      </c>
      <c r="G7" s="73">
        <v>446</v>
      </c>
      <c r="I7" s="73">
        <v>435</v>
      </c>
      <c r="K7" s="73">
        <v>520</v>
      </c>
      <c r="M7" s="73">
        <v>405</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A252-79E7-4046-8CF6-79F91309199C}">
  <dimension ref="A1:M64"/>
  <sheetViews>
    <sheetView view="pageBreakPreview" topLeftCell="A15" zoomScaleNormal="100" zoomScaleSheetLayoutView="100" workbookViewId="0">
      <selection activeCell="B17" sqref="B17"/>
    </sheetView>
  </sheetViews>
  <sheetFormatPr defaultColWidth="9.1796875" defaultRowHeight="14"/>
  <cols>
    <col min="1" max="1" width="14" style="73" customWidth="1"/>
    <col min="2" max="2" width="33" style="79" customWidth="1"/>
    <col min="3" max="3" width="15" style="79" customWidth="1"/>
    <col min="4" max="4" width="5.26953125" style="73" bestFit="1" customWidth="1"/>
    <col min="5" max="5" width="8.453125" style="73" bestFit="1" customWidth="1"/>
    <col min="6" max="6" width="5.26953125" style="73" bestFit="1" customWidth="1"/>
    <col min="7" max="7" width="8.453125" style="73" bestFit="1" customWidth="1"/>
    <col min="8" max="8" width="5.26953125" style="73" bestFit="1" customWidth="1"/>
    <col min="9" max="9" width="8.453125" style="73" bestFit="1" customWidth="1"/>
    <col min="10" max="10" width="5.26953125" style="73" bestFit="1" customWidth="1"/>
    <col min="11" max="11" width="8.453125" style="73" bestFit="1" customWidth="1"/>
    <col min="12" max="12" width="5.26953125" style="73" bestFit="1" customWidth="1"/>
    <col min="13" max="13" width="8.453125" style="73" bestFit="1" customWidth="1"/>
    <col min="14" max="16384" width="9.1796875" style="73"/>
  </cols>
  <sheetData>
    <row r="1" spans="1:13" ht="15.5">
      <c r="A1" s="72" t="s">
        <v>476</v>
      </c>
    </row>
    <row r="2" spans="1:13">
      <c r="A2" s="83" t="s">
        <v>670</v>
      </c>
      <c r="B2" s="84" t="s">
        <v>0</v>
      </c>
      <c r="C2" s="84" t="s">
        <v>669</v>
      </c>
      <c r="D2" s="83" t="s">
        <v>1</v>
      </c>
      <c r="E2" s="83">
        <v>2018</v>
      </c>
      <c r="F2" s="83" t="s">
        <v>1</v>
      </c>
      <c r="G2" s="83">
        <v>2019</v>
      </c>
      <c r="H2" s="83" t="s">
        <v>1</v>
      </c>
      <c r="I2" s="83">
        <v>2020</v>
      </c>
      <c r="J2" s="83" t="s">
        <v>1</v>
      </c>
      <c r="K2" s="83">
        <v>2021</v>
      </c>
      <c r="L2" s="83" t="s">
        <v>1</v>
      </c>
      <c r="M2" s="83">
        <v>2022</v>
      </c>
    </row>
    <row r="3" spans="1:13" ht="25.5">
      <c r="A3" s="86" t="s">
        <v>38</v>
      </c>
      <c r="B3" s="85" t="s">
        <v>485</v>
      </c>
      <c r="C3" s="85" t="s">
        <v>326</v>
      </c>
      <c r="D3" s="86" t="s">
        <v>205</v>
      </c>
      <c r="E3" s="87">
        <v>38211</v>
      </c>
      <c r="F3" s="86" t="s">
        <v>205</v>
      </c>
      <c r="G3" s="87">
        <v>34976</v>
      </c>
      <c r="H3" s="86" t="s">
        <v>205</v>
      </c>
      <c r="I3" s="87">
        <v>35177</v>
      </c>
      <c r="J3" s="86" t="s">
        <v>205</v>
      </c>
      <c r="K3" s="87">
        <v>30654</v>
      </c>
      <c r="L3" s="86" t="s">
        <v>205</v>
      </c>
      <c r="M3" s="87">
        <v>33384</v>
      </c>
    </row>
    <row r="4" spans="1:13">
      <c r="A4" s="86"/>
      <c r="B4" s="85"/>
      <c r="C4" s="85"/>
      <c r="D4" s="86"/>
      <c r="E4" s="86"/>
      <c r="F4" s="86"/>
      <c r="G4" s="86"/>
      <c r="H4" s="86"/>
      <c r="I4" s="86"/>
      <c r="J4" s="86"/>
      <c r="K4" s="86"/>
      <c r="L4" s="86"/>
      <c r="M4" s="86"/>
    </row>
    <row r="5" spans="1:13" ht="25.5">
      <c r="A5" s="86" t="s">
        <v>223</v>
      </c>
      <c r="B5" s="85" t="s">
        <v>480</v>
      </c>
      <c r="C5" s="85" t="s">
        <v>326</v>
      </c>
      <c r="D5" s="86" t="s">
        <v>481</v>
      </c>
      <c r="E5" s="87">
        <v>23097</v>
      </c>
      <c r="F5" s="86" t="s">
        <v>481</v>
      </c>
      <c r="G5" s="87">
        <v>19217</v>
      </c>
      <c r="H5" s="86" t="s">
        <v>481</v>
      </c>
      <c r="I5" s="87">
        <v>19230</v>
      </c>
      <c r="J5" s="86" t="s">
        <v>481</v>
      </c>
      <c r="K5" s="87">
        <v>8698</v>
      </c>
      <c r="L5" s="86" t="s">
        <v>481</v>
      </c>
      <c r="M5" s="87">
        <v>14303</v>
      </c>
    </row>
    <row r="6" spans="1:13">
      <c r="A6" s="86"/>
      <c r="B6" s="85"/>
      <c r="C6" s="85"/>
      <c r="D6" s="86"/>
      <c r="E6" s="87"/>
      <c r="F6" s="86"/>
      <c r="G6" s="87"/>
      <c r="H6" s="86"/>
      <c r="I6" s="87"/>
      <c r="J6" s="86"/>
      <c r="K6" s="87"/>
      <c r="L6" s="86"/>
      <c r="M6" s="87"/>
    </row>
    <row r="7" spans="1:13">
      <c r="A7" s="86" t="s">
        <v>19</v>
      </c>
      <c r="B7" s="85" t="s">
        <v>477</v>
      </c>
      <c r="C7" s="85" t="s">
        <v>829</v>
      </c>
      <c r="D7" s="86"/>
      <c r="E7" s="87">
        <v>26287</v>
      </c>
      <c r="F7" s="86"/>
      <c r="G7" s="87">
        <v>12665</v>
      </c>
      <c r="H7" s="86"/>
      <c r="I7" s="87">
        <v>14329</v>
      </c>
      <c r="J7" s="86"/>
      <c r="K7" s="87">
        <v>33570</v>
      </c>
      <c r="L7" s="86"/>
      <c r="M7" s="87">
        <v>61251</v>
      </c>
    </row>
    <row r="8" spans="1:13">
      <c r="A8" s="86" t="s">
        <v>19</v>
      </c>
      <c r="B8" s="85" t="s">
        <v>477</v>
      </c>
      <c r="C8" s="85" t="s">
        <v>201</v>
      </c>
      <c r="D8" s="86"/>
      <c r="E8" s="87">
        <v>11279</v>
      </c>
      <c r="F8" s="86"/>
      <c r="G8" s="87">
        <v>10713</v>
      </c>
      <c r="H8" s="86"/>
      <c r="I8" s="87">
        <v>5941</v>
      </c>
      <c r="J8" s="86"/>
      <c r="K8" s="87">
        <v>8947</v>
      </c>
      <c r="L8" s="86"/>
      <c r="M8" s="87">
        <v>12023</v>
      </c>
    </row>
    <row r="9" spans="1:13">
      <c r="A9" s="86" t="s">
        <v>19</v>
      </c>
      <c r="B9" s="85" t="s">
        <v>478</v>
      </c>
      <c r="C9" s="85" t="s">
        <v>829</v>
      </c>
      <c r="D9" s="86"/>
      <c r="E9" s="86"/>
      <c r="F9" s="86"/>
      <c r="G9" s="86"/>
      <c r="H9" s="86"/>
      <c r="I9" s="86"/>
      <c r="J9" s="86"/>
      <c r="K9" s="86"/>
      <c r="L9" s="86"/>
      <c r="M9" s="86"/>
    </row>
    <row r="10" spans="1:13">
      <c r="A10" s="86" t="s">
        <v>19</v>
      </c>
      <c r="B10" s="85" t="s">
        <v>478</v>
      </c>
      <c r="C10" s="85" t="s">
        <v>201</v>
      </c>
      <c r="D10" s="86"/>
      <c r="E10" s="86"/>
      <c r="F10" s="86"/>
      <c r="G10" s="86"/>
      <c r="H10" s="86"/>
      <c r="I10" s="86"/>
      <c r="J10" s="86"/>
      <c r="K10" s="86"/>
      <c r="L10" s="86"/>
      <c r="M10" s="86"/>
    </row>
    <row r="11" spans="1:13">
      <c r="A11" s="86" t="s">
        <v>19</v>
      </c>
      <c r="B11" s="85" t="s">
        <v>479</v>
      </c>
      <c r="C11" s="85" t="s">
        <v>829</v>
      </c>
      <c r="D11" s="86"/>
      <c r="E11" s="87">
        <v>381688</v>
      </c>
      <c r="F11" s="86"/>
      <c r="G11" s="87">
        <v>397062</v>
      </c>
      <c r="H11" s="86"/>
      <c r="I11" s="87">
        <v>334613</v>
      </c>
      <c r="J11" s="86"/>
      <c r="K11" s="87">
        <v>265390</v>
      </c>
      <c r="L11" s="86"/>
      <c r="M11" s="87">
        <v>323983</v>
      </c>
    </row>
    <row r="12" spans="1:13">
      <c r="A12" s="86" t="s">
        <v>19</v>
      </c>
      <c r="B12" s="85" t="s">
        <v>479</v>
      </c>
      <c r="C12" s="85" t="s">
        <v>201</v>
      </c>
      <c r="D12" s="86"/>
      <c r="E12" s="87">
        <v>50887</v>
      </c>
      <c r="F12" s="86"/>
      <c r="G12" s="87">
        <v>51744</v>
      </c>
      <c r="H12" s="86"/>
      <c r="I12" s="87">
        <v>41755</v>
      </c>
      <c r="J12" s="86"/>
      <c r="K12" s="87">
        <v>36175</v>
      </c>
      <c r="L12" s="86"/>
      <c r="M12" s="87">
        <v>42884</v>
      </c>
    </row>
    <row r="13" spans="1:13">
      <c r="A13" s="86" t="s">
        <v>19</v>
      </c>
      <c r="B13" s="85" t="s">
        <v>482</v>
      </c>
      <c r="C13" s="85" t="s">
        <v>829</v>
      </c>
      <c r="D13" s="86"/>
      <c r="E13" s="86">
        <v>3</v>
      </c>
      <c r="F13" s="86"/>
      <c r="G13" s="86">
        <v>9</v>
      </c>
      <c r="H13" s="86"/>
      <c r="I13" s="86">
        <v>6</v>
      </c>
      <c r="J13" s="86"/>
      <c r="K13" s="87">
        <v>10555</v>
      </c>
      <c r="L13" s="86"/>
      <c r="M13" s="86">
        <v>2</v>
      </c>
    </row>
    <row r="14" spans="1:13">
      <c r="A14" s="86" t="s">
        <v>19</v>
      </c>
      <c r="B14" s="85" t="s">
        <v>482</v>
      </c>
      <c r="C14" s="85" t="s">
        <v>201</v>
      </c>
      <c r="D14" s="86"/>
      <c r="E14" s="86">
        <v>0</v>
      </c>
      <c r="F14" s="86"/>
      <c r="G14" s="86">
        <v>0</v>
      </c>
      <c r="H14" s="86"/>
      <c r="I14" s="86">
        <v>0</v>
      </c>
      <c r="J14" s="86"/>
      <c r="K14" s="87">
        <v>30573</v>
      </c>
      <c r="L14" s="86"/>
      <c r="M14" s="86">
        <v>0</v>
      </c>
    </row>
    <row r="15" spans="1:13">
      <c r="A15" s="86" t="s">
        <v>19</v>
      </c>
      <c r="B15" s="85" t="s">
        <v>483</v>
      </c>
      <c r="C15" s="85" t="s">
        <v>829</v>
      </c>
      <c r="D15" s="86"/>
      <c r="E15" s="86">
        <v>148</v>
      </c>
      <c r="F15" s="86"/>
      <c r="G15" s="86">
        <v>244</v>
      </c>
      <c r="H15" s="86"/>
      <c r="I15" s="86">
        <v>113</v>
      </c>
      <c r="J15" s="86"/>
      <c r="K15" s="87">
        <v>1130</v>
      </c>
      <c r="L15" s="86"/>
      <c r="M15" s="86">
        <v>541</v>
      </c>
    </row>
    <row r="16" spans="1:13">
      <c r="A16" s="86" t="s">
        <v>19</v>
      </c>
      <c r="B16" s="85" t="s">
        <v>483</v>
      </c>
      <c r="C16" s="85" t="s">
        <v>201</v>
      </c>
      <c r="D16" s="86"/>
      <c r="E16" s="86">
        <v>51</v>
      </c>
      <c r="F16" s="86"/>
      <c r="G16" s="86">
        <v>154</v>
      </c>
      <c r="H16" s="86"/>
      <c r="I16" s="86">
        <v>3</v>
      </c>
      <c r="J16" s="86"/>
      <c r="K16" s="86">
        <v>50</v>
      </c>
      <c r="L16" s="86"/>
      <c r="M16" s="86">
        <v>18</v>
      </c>
    </row>
    <row r="17" spans="1:13">
      <c r="A17" s="86" t="s">
        <v>19</v>
      </c>
      <c r="B17" s="85" t="s">
        <v>484</v>
      </c>
      <c r="C17" s="85" t="s">
        <v>829</v>
      </c>
      <c r="D17" s="86"/>
      <c r="E17" s="87">
        <v>66737</v>
      </c>
      <c r="F17" s="86"/>
      <c r="G17" s="87">
        <v>87207</v>
      </c>
      <c r="H17" s="86"/>
      <c r="I17" s="87">
        <v>41119</v>
      </c>
      <c r="J17" s="86"/>
      <c r="K17" s="87">
        <v>64506</v>
      </c>
      <c r="L17" s="86"/>
      <c r="M17" s="87">
        <v>158167</v>
      </c>
    </row>
    <row r="18" spans="1:13">
      <c r="A18" s="86" t="s">
        <v>19</v>
      </c>
      <c r="B18" s="85" t="s">
        <v>484</v>
      </c>
      <c r="C18" s="85" t="s">
        <v>201</v>
      </c>
      <c r="D18" s="86"/>
      <c r="E18" s="87">
        <v>10562</v>
      </c>
      <c r="F18" s="86"/>
      <c r="G18" s="87">
        <v>13294</v>
      </c>
      <c r="H18" s="86"/>
      <c r="I18" s="87">
        <v>7166</v>
      </c>
      <c r="J18" s="86"/>
      <c r="K18" s="87">
        <v>10182</v>
      </c>
      <c r="L18" s="86"/>
      <c r="M18" s="87">
        <v>14648</v>
      </c>
    </row>
    <row r="19" spans="1:13">
      <c r="A19" s="86" t="s">
        <v>19</v>
      </c>
      <c r="B19" s="85" t="s">
        <v>486</v>
      </c>
      <c r="C19" s="85" t="s">
        <v>829</v>
      </c>
      <c r="D19" s="86"/>
      <c r="E19" s="87">
        <v>97352</v>
      </c>
      <c r="F19" s="86"/>
      <c r="G19" s="87">
        <v>85906</v>
      </c>
      <c r="H19" s="86"/>
      <c r="I19" s="87">
        <v>49102</v>
      </c>
      <c r="J19" s="86"/>
      <c r="K19" s="87">
        <v>40947</v>
      </c>
      <c r="L19" s="86"/>
      <c r="M19" s="87">
        <v>64974</v>
      </c>
    </row>
    <row r="20" spans="1:13">
      <c r="A20" s="86" t="s">
        <v>19</v>
      </c>
      <c r="B20" s="85" t="s">
        <v>486</v>
      </c>
      <c r="C20" s="85" t="s">
        <v>201</v>
      </c>
      <c r="D20" s="86"/>
      <c r="E20" s="87">
        <v>4591</v>
      </c>
      <c r="F20" s="86"/>
      <c r="G20" s="87">
        <v>4796</v>
      </c>
      <c r="H20" s="86"/>
      <c r="I20" s="87">
        <v>2970</v>
      </c>
      <c r="J20" s="86"/>
      <c r="K20" s="87">
        <v>2856</v>
      </c>
      <c r="L20" s="86"/>
      <c r="M20" s="87">
        <v>2553</v>
      </c>
    </row>
    <row r="21" spans="1:13">
      <c r="A21" s="86" t="s">
        <v>19</v>
      </c>
      <c r="B21" s="85" t="s">
        <v>487</v>
      </c>
      <c r="C21" s="85" t="s">
        <v>829</v>
      </c>
      <c r="D21" s="86"/>
      <c r="E21" s="87">
        <v>103051</v>
      </c>
      <c r="F21" s="86"/>
      <c r="G21" s="87">
        <v>96526</v>
      </c>
      <c r="H21" s="86"/>
      <c r="I21" s="87">
        <v>62235</v>
      </c>
      <c r="J21" s="86"/>
      <c r="K21" s="87">
        <v>95978</v>
      </c>
      <c r="L21" s="86"/>
      <c r="M21" s="87">
        <v>191955</v>
      </c>
    </row>
    <row r="22" spans="1:13">
      <c r="A22" s="86" t="s">
        <v>19</v>
      </c>
      <c r="B22" s="85" t="s">
        <v>487</v>
      </c>
      <c r="C22" s="85" t="s">
        <v>201</v>
      </c>
      <c r="D22" s="86"/>
      <c r="E22" s="87">
        <v>9857</v>
      </c>
      <c r="F22" s="86"/>
      <c r="G22" s="87">
        <v>9033</v>
      </c>
      <c r="H22" s="86"/>
      <c r="I22" s="87">
        <v>5642</v>
      </c>
      <c r="J22" s="86"/>
      <c r="K22" s="87">
        <v>7274</v>
      </c>
      <c r="L22" s="86"/>
      <c r="M22" s="87">
        <v>9155</v>
      </c>
    </row>
    <row r="23" spans="1:13">
      <c r="A23" s="86"/>
      <c r="B23" s="85"/>
      <c r="C23" s="85"/>
      <c r="D23" s="86"/>
      <c r="E23" s="86"/>
      <c r="F23" s="86"/>
      <c r="G23" s="86"/>
      <c r="H23" s="86"/>
      <c r="I23" s="86"/>
      <c r="J23" s="86"/>
      <c r="K23" s="86"/>
      <c r="L23" s="86"/>
      <c r="M23" s="86"/>
    </row>
    <row r="24" spans="1:13">
      <c r="A24" s="86" t="s">
        <v>20</v>
      </c>
      <c r="B24" s="85" t="s">
        <v>477</v>
      </c>
      <c r="C24" s="85" t="s">
        <v>829</v>
      </c>
      <c r="D24" s="86"/>
      <c r="E24" s="86">
        <v>252</v>
      </c>
      <c r="F24" s="86"/>
      <c r="G24" s="86">
        <v>680</v>
      </c>
      <c r="H24" s="86"/>
      <c r="I24" s="86">
        <v>832</v>
      </c>
      <c r="J24" s="86"/>
      <c r="K24" s="86">
        <v>199</v>
      </c>
      <c r="L24" s="86"/>
      <c r="M24" s="86">
        <v>294</v>
      </c>
    </row>
    <row r="25" spans="1:13">
      <c r="A25" s="86" t="s">
        <v>20</v>
      </c>
      <c r="B25" s="85" t="s">
        <v>477</v>
      </c>
      <c r="C25" s="85" t="s">
        <v>201</v>
      </c>
      <c r="D25" s="86"/>
      <c r="E25" s="86">
        <v>154</v>
      </c>
      <c r="F25" s="86"/>
      <c r="G25" s="86">
        <v>478</v>
      </c>
      <c r="H25" s="86"/>
      <c r="I25" s="86">
        <v>516</v>
      </c>
      <c r="J25" s="86"/>
      <c r="K25" s="86">
        <v>149</v>
      </c>
      <c r="L25" s="86"/>
      <c r="M25" s="86">
        <v>227</v>
      </c>
    </row>
    <row r="26" spans="1:13">
      <c r="A26" s="86" t="s">
        <v>20</v>
      </c>
      <c r="B26" s="85" t="s">
        <v>478</v>
      </c>
      <c r="C26" s="85" t="s">
        <v>829</v>
      </c>
      <c r="D26" s="86"/>
      <c r="E26" s="87">
        <v>95139</v>
      </c>
      <c r="F26" s="86"/>
      <c r="G26" s="87">
        <v>89740</v>
      </c>
      <c r="H26" s="86"/>
      <c r="I26" s="87">
        <v>79461</v>
      </c>
      <c r="J26" s="86"/>
      <c r="K26" s="87">
        <v>57714</v>
      </c>
      <c r="L26" s="86"/>
      <c r="M26" s="87">
        <v>46292</v>
      </c>
    </row>
    <row r="27" spans="1:13">
      <c r="A27" s="86" t="s">
        <v>20</v>
      </c>
      <c r="B27" s="85" t="s">
        <v>478</v>
      </c>
      <c r="C27" s="85" t="s">
        <v>201</v>
      </c>
      <c r="D27" s="86"/>
      <c r="E27" s="87">
        <v>9487</v>
      </c>
      <c r="F27" s="86"/>
      <c r="G27" s="87">
        <v>9136</v>
      </c>
      <c r="H27" s="86"/>
      <c r="I27" s="87">
        <v>8142</v>
      </c>
      <c r="J27" s="86"/>
      <c r="K27" s="87">
        <v>8116</v>
      </c>
      <c r="L27" s="86"/>
      <c r="M27" s="87">
        <v>5846</v>
      </c>
    </row>
    <row r="28" spans="1:13">
      <c r="A28" s="86" t="s">
        <v>20</v>
      </c>
      <c r="B28" s="85" t="s">
        <v>479</v>
      </c>
      <c r="C28" s="85" t="s">
        <v>829</v>
      </c>
      <c r="D28" s="86"/>
      <c r="E28" s="87">
        <v>1032</v>
      </c>
      <c r="F28" s="86"/>
      <c r="G28" s="87">
        <v>1244</v>
      </c>
      <c r="H28" s="86"/>
      <c r="I28" s="87">
        <v>1335</v>
      </c>
      <c r="J28" s="86"/>
      <c r="K28" s="87">
        <v>3377</v>
      </c>
      <c r="L28" s="86"/>
      <c r="M28" s="86">
        <v>927</v>
      </c>
    </row>
    <row r="29" spans="1:13">
      <c r="A29" s="86" t="s">
        <v>20</v>
      </c>
      <c r="B29" s="85" t="s">
        <v>479</v>
      </c>
      <c r="C29" s="85" t="s">
        <v>201</v>
      </c>
      <c r="D29" s="86"/>
      <c r="E29" s="86">
        <v>65</v>
      </c>
      <c r="F29" s="86"/>
      <c r="G29" s="86">
        <v>94</v>
      </c>
      <c r="H29" s="86"/>
      <c r="I29" s="86">
        <v>134</v>
      </c>
      <c r="J29" s="86"/>
      <c r="K29" s="86">
        <v>392</v>
      </c>
      <c r="L29" s="86"/>
      <c r="M29" s="86">
        <v>127</v>
      </c>
    </row>
    <row r="30" spans="1:13">
      <c r="A30" s="86" t="s">
        <v>20</v>
      </c>
      <c r="B30" s="85" t="s">
        <v>482</v>
      </c>
      <c r="C30" s="85" t="s">
        <v>829</v>
      </c>
      <c r="D30" s="86"/>
      <c r="E30" s="86">
        <v>20</v>
      </c>
      <c r="F30" s="86"/>
      <c r="G30" s="86">
        <v>6</v>
      </c>
      <c r="H30" s="86"/>
      <c r="I30" s="86">
        <v>108</v>
      </c>
      <c r="J30" s="86"/>
      <c r="K30" s="86">
        <v>4</v>
      </c>
      <c r="L30" s="86"/>
      <c r="M30" s="86">
        <v>61</v>
      </c>
    </row>
    <row r="31" spans="1:13">
      <c r="A31" s="86" t="s">
        <v>20</v>
      </c>
      <c r="B31" s="85" t="s">
        <v>482</v>
      </c>
      <c r="C31" s="85" t="s">
        <v>201</v>
      </c>
      <c r="D31" s="86"/>
      <c r="E31" s="86">
        <v>12</v>
      </c>
      <c r="F31" s="86"/>
      <c r="G31" s="86">
        <v>0</v>
      </c>
      <c r="H31" s="86"/>
      <c r="I31" s="86">
        <v>23</v>
      </c>
      <c r="J31" s="86"/>
      <c r="K31" s="86">
        <v>0</v>
      </c>
      <c r="L31" s="86"/>
      <c r="M31" s="86">
        <v>80</v>
      </c>
    </row>
    <row r="32" spans="1:13">
      <c r="A32" s="86" t="s">
        <v>20</v>
      </c>
      <c r="B32" s="85" t="s">
        <v>483</v>
      </c>
      <c r="C32" s="85" t="s">
        <v>829</v>
      </c>
      <c r="D32" s="86"/>
      <c r="E32" s="86">
        <v>30</v>
      </c>
      <c r="F32" s="86"/>
      <c r="G32" s="86">
        <v>20</v>
      </c>
      <c r="H32" s="86"/>
      <c r="I32" s="86">
        <v>122</v>
      </c>
      <c r="J32" s="86"/>
      <c r="K32" s="86">
        <v>92</v>
      </c>
      <c r="L32" s="86"/>
      <c r="M32" s="86">
        <v>69</v>
      </c>
    </row>
    <row r="33" spans="1:13">
      <c r="A33" s="86" t="s">
        <v>20</v>
      </c>
      <c r="B33" s="85" t="s">
        <v>483</v>
      </c>
      <c r="C33" s="85" t="s">
        <v>201</v>
      </c>
      <c r="D33" s="86"/>
      <c r="E33" s="86">
        <v>1</v>
      </c>
      <c r="F33" s="86"/>
      <c r="G33" s="86">
        <v>0</v>
      </c>
      <c r="H33" s="86"/>
      <c r="I33" s="86">
        <v>2</v>
      </c>
      <c r="J33" s="86"/>
      <c r="K33" s="86">
        <v>2</v>
      </c>
      <c r="L33" s="86"/>
      <c r="M33" s="86">
        <v>1</v>
      </c>
    </row>
    <row r="34" spans="1:13">
      <c r="A34" s="86" t="s">
        <v>20</v>
      </c>
      <c r="B34" s="85" t="s">
        <v>484</v>
      </c>
      <c r="C34" s="85" t="s">
        <v>829</v>
      </c>
      <c r="D34" s="86"/>
      <c r="E34" s="87">
        <v>114417</v>
      </c>
      <c r="F34" s="86"/>
      <c r="G34" s="87">
        <v>118612</v>
      </c>
      <c r="H34" s="86"/>
      <c r="I34" s="87">
        <v>60905</v>
      </c>
      <c r="J34" s="86"/>
      <c r="K34" s="87">
        <v>88612</v>
      </c>
      <c r="L34" s="86"/>
      <c r="M34" s="87">
        <v>179061</v>
      </c>
    </row>
    <row r="35" spans="1:13">
      <c r="A35" s="86" t="s">
        <v>20</v>
      </c>
      <c r="B35" s="85" t="s">
        <v>484</v>
      </c>
      <c r="C35" s="85" t="s">
        <v>201</v>
      </c>
      <c r="D35" s="86"/>
      <c r="E35" s="87">
        <v>20460</v>
      </c>
      <c r="F35" s="86"/>
      <c r="G35" s="87">
        <v>13863</v>
      </c>
      <c r="H35" s="86"/>
      <c r="I35" s="87">
        <v>8872</v>
      </c>
      <c r="J35" s="86"/>
      <c r="K35" s="87">
        <v>10444</v>
      </c>
      <c r="L35" s="86"/>
      <c r="M35" s="87">
        <v>13782</v>
      </c>
    </row>
    <row r="36" spans="1:13">
      <c r="A36" s="86" t="s">
        <v>20</v>
      </c>
      <c r="B36" s="85" t="s">
        <v>486</v>
      </c>
      <c r="C36" s="85" t="s">
        <v>829</v>
      </c>
      <c r="D36" s="86"/>
      <c r="E36" s="87">
        <v>122048</v>
      </c>
      <c r="F36" s="86"/>
      <c r="G36" s="87">
        <v>132713</v>
      </c>
      <c r="H36" s="86"/>
      <c r="I36" s="87">
        <v>90852</v>
      </c>
      <c r="J36" s="86"/>
      <c r="K36" s="87">
        <v>93605</v>
      </c>
      <c r="L36" s="86"/>
      <c r="M36" s="87">
        <v>146605</v>
      </c>
    </row>
    <row r="37" spans="1:13">
      <c r="A37" s="86" t="s">
        <v>20</v>
      </c>
      <c r="B37" s="85" t="s">
        <v>486</v>
      </c>
      <c r="C37" s="85" t="s">
        <v>201</v>
      </c>
      <c r="D37" s="86"/>
      <c r="E37" s="87">
        <v>7752</v>
      </c>
      <c r="F37" s="86"/>
      <c r="G37" s="87">
        <v>8257</v>
      </c>
      <c r="H37" s="86"/>
      <c r="I37" s="87">
        <v>5205</v>
      </c>
      <c r="J37" s="86"/>
      <c r="K37" s="87">
        <v>5040</v>
      </c>
      <c r="L37" s="86"/>
      <c r="M37" s="87">
        <v>5851</v>
      </c>
    </row>
    <row r="38" spans="1:13">
      <c r="A38" s="86" t="s">
        <v>20</v>
      </c>
      <c r="B38" s="85" t="s">
        <v>487</v>
      </c>
      <c r="C38" s="85" t="s">
        <v>829</v>
      </c>
      <c r="D38" s="86"/>
      <c r="E38" s="87">
        <v>240021</v>
      </c>
      <c r="F38" s="86"/>
      <c r="G38" s="87">
        <v>194798</v>
      </c>
      <c r="H38" s="86"/>
      <c r="I38" s="87">
        <v>354556</v>
      </c>
      <c r="J38" s="86"/>
      <c r="K38" s="87">
        <v>353009</v>
      </c>
      <c r="L38" s="86"/>
      <c r="M38" s="87">
        <v>441397</v>
      </c>
    </row>
    <row r="39" spans="1:13">
      <c r="A39" s="86" t="s">
        <v>20</v>
      </c>
      <c r="B39" s="85" t="s">
        <v>487</v>
      </c>
      <c r="C39" s="85" t="s">
        <v>201</v>
      </c>
      <c r="D39" s="86"/>
      <c r="E39" s="87">
        <v>23520</v>
      </c>
      <c r="F39" s="86"/>
      <c r="G39" s="87">
        <v>17301</v>
      </c>
      <c r="H39" s="86"/>
      <c r="I39" s="87">
        <v>30802</v>
      </c>
      <c r="J39" s="86"/>
      <c r="K39" s="87">
        <v>24201</v>
      </c>
      <c r="L39" s="86"/>
      <c r="M39" s="87">
        <v>22451</v>
      </c>
    </row>
    <row r="40" spans="1:13">
      <c r="A40" s="88"/>
      <c r="B40" s="89"/>
      <c r="C40" s="89"/>
      <c r="D40" s="88"/>
      <c r="E40" s="88"/>
      <c r="F40" s="88"/>
      <c r="G40" s="88"/>
      <c r="H40" s="88"/>
      <c r="I40" s="88"/>
      <c r="J40" s="88"/>
      <c r="K40" s="88"/>
      <c r="L40" s="88"/>
      <c r="M40" s="88"/>
    </row>
    <row r="41" spans="1:13">
      <c r="A41" s="86"/>
      <c r="B41" s="85"/>
      <c r="C41" s="85"/>
      <c r="D41" s="86"/>
      <c r="E41" s="86"/>
      <c r="F41" s="86"/>
      <c r="G41" s="86"/>
      <c r="H41" s="86"/>
      <c r="I41" s="86"/>
      <c r="J41" s="86"/>
      <c r="K41" s="86"/>
      <c r="L41" s="86"/>
      <c r="M41" s="86"/>
    </row>
    <row r="42" spans="1:13">
      <c r="A42" s="86" t="s">
        <v>14</v>
      </c>
      <c r="B42" s="85" t="s">
        <v>15</v>
      </c>
      <c r="C42" s="85"/>
      <c r="D42" s="86"/>
      <c r="E42" s="86"/>
      <c r="F42" s="86"/>
      <c r="G42" s="86"/>
      <c r="H42" s="86"/>
      <c r="I42" s="86"/>
      <c r="J42" s="86"/>
      <c r="K42" s="86"/>
      <c r="L42" s="86"/>
      <c r="M42" s="86"/>
    </row>
    <row r="43" spans="1:13">
      <c r="A43" s="86" t="s">
        <v>214</v>
      </c>
      <c r="B43" s="112" t="s">
        <v>488</v>
      </c>
      <c r="C43" s="112"/>
      <c r="D43" s="112"/>
      <c r="E43" s="112"/>
      <c r="F43" s="112"/>
      <c r="G43" s="112"/>
      <c r="H43" s="112"/>
      <c r="I43" s="112"/>
      <c r="J43" s="112"/>
      <c r="K43" s="112"/>
      <c r="L43" s="86"/>
      <c r="M43" s="86"/>
    </row>
    <row r="44" spans="1:13">
      <c r="A44" s="86" t="s">
        <v>215</v>
      </c>
      <c r="B44" s="112" t="s">
        <v>333</v>
      </c>
      <c r="C44" s="112"/>
      <c r="D44" s="112"/>
      <c r="E44" s="112"/>
      <c r="F44" s="112"/>
      <c r="G44" s="112"/>
      <c r="H44" s="112"/>
      <c r="I44" s="112"/>
      <c r="J44" s="112"/>
      <c r="K44" s="112"/>
      <c r="L44" s="86"/>
      <c r="M44" s="86"/>
    </row>
    <row r="45" spans="1:13">
      <c r="A45" s="86" t="s">
        <v>217</v>
      </c>
      <c r="B45" s="112" t="s">
        <v>489</v>
      </c>
      <c r="C45" s="112"/>
      <c r="D45" s="112"/>
      <c r="E45" s="112"/>
      <c r="F45" s="112"/>
      <c r="G45" s="112"/>
      <c r="H45" s="112"/>
      <c r="I45" s="112"/>
      <c r="J45" s="112"/>
      <c r="K45" s="112"/>
      <c r="L45" s="86"/>
      <c r="M45" s="86"/>
    </row>
    <row r="46" spans="1:13">
      <c r="A46" s="86"/>
      <c r="B46" s="85"/>
      <c r="C46" s="85"/>
      <c r="D46" s="86"/>
      <c r="E46" s="86"/>
      <c r="F46" s="86"/>
      <c r="G46" s="86"/>
      <c r="H46" s="86"/>
      <c r="I46" s="86"/>
      <c r="J46" s="86"/>
      <c r="K46" s="86"/>
      <c r="L46" s="86"/>
      <c r="M46" s="86"/>
    </row>
    <row r="47" spans="1:13">
      <c r="A47" s="86"/>
      <c r="B47" s="85"/>
      <c r="C47" s="85"/>
      <c r="D47" s="86"/>
      <c r="E47" s="86"/>
      <c r="F47" s="86"/>
      <c r="G47" s="86"/>
      <c r="H47" s="86"/>
      <c r="I47" s="86"/>
      <c r="J47" s="86"/>
      <c r="K47" s="86"/>
      <c r="L47" s="86"/>
      <c r="M47" s="86"/>
    </row>
    <row r="48" spans="1:13">
      <c r="A48" s="90" t="str">
        <f>HYPERLINK("[UKMY 2023 PrintableV1.1 12_09_24.xlsx]Contents!A1","Return to contents page")</f>
        <v>Return to contents page</v>
      </c>
      <c r="B48" s="85"/>
      <c r="C48" s="85"/>
      <c r="D48" s="86"/>
      <c r="E48" s="86"/>
      <c r="F48" s="86"/>
      <c r="G48" s="86"/>
      <c r="H48" s="86"/>
      <c r="I48" s="86"/>
      <c r="J48" s="86"/>
      <c r="K48" s="86"/>
      <c r="L48" s="86"/>
      <c r="M48" s="86"/>
    </row>
    <row r="64" spans="5:5">
      <c r="E64" s="78"/>
    </row>
  </sheetData>
  <sortState xmlns:xlrd2="http://schemas.microsoft.com/office/spreadsheetml/2017/richdata2" ref="A3:M39">
    <sortCondition ref="A5:A39"/>
    <sortCondition ref="B5:B39"/>
  </sortState>
  <mergeCells count="3">
    <mergeCell ref="B43:K43"/>
    <mergeCell ref="B44:K44"/>
    <mergeCell ref="B45:K45"/>
  </mergeCell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B26C5-74B6-45DD-9D22-277A0A61AA35}">
  <dimension ref="A1:M64"/>
  <sheetViews>
    <sheetView view="pageBreakPreview" zoomScaleNormal="100" zoomScaleSheetLayoutView="100" workbookViewId="0">
      <selection activeCell="B4" sqref="B4"/>
    </sheetView>
  </sheetViews>
  <sheetFormatPr defaultColWidth="36.54296875" defaultRowHeight="14"/>
  <cols>
    <col min="1" max="1" width="21.54296875" style="73" customWidth="1"/>
    <col min="2" max="2" width="34.26953125" style="73" bestFit="1" customWidth="1"/>
    <col min="3" max="3" width="15.26953125" style="73" bestFit="1" customWidth="1"/>
    <col min="4" max="4" width="2.1796875" style="73" bestFit="1" customWidth="1"/>
    <col min="5" max="5" width="8.453125" style="73" bestFit="1" customWidth="1"/>
    <col min="6" max="6" width="2.1796875" style="73" bestFit="1" customWidth="1"/>
    <col min="7" max="7" width="8.453125" style="73" bestFit="1" customWidth="1"/>
    <col min="8" max="8" width="2.1796875" style="73" bestFit="1" customWidth="1"/>
    <col min="9" max="9" width="8.453125" style="73" bestFit="1" customWidth="1"/>
    <col min="10" max="10" width="2.1796875" style="73" bestFit="1" customWidth="1"/>
    <col min="11" max="11" width="8.453125" style="73" bestFit="1" customWidth="1"/>
    <col min="12" max="12" width="2.1796875" style="73" bestFit="1" customWidth="1"/>
    <col min="13" max="13" width="8.453125" style="73" bestFit="1" customWidth="1"/>
    <col min="14" max="16384" width="36.54296875" style="73"/>
  </cols>
  <sheetData>
    <row r="1" spans="1:13">
      <c r="A1" s="91" t="s">
        <v>491</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492</v>
      </c>
      <c r="C3" s="73" t="s">
        <v>829</v>
      </c>
      <c r="E3" s="75">
        <v>35338</v>
      </c>
      <c r="G3" s="75">
        <v>40103</v>
      </c>
      <c r="I3" s="75">
        <v>45870</v>
      </c>
      <c r="K3" s="75">
        <v>48049</v>
      </c>
      <c r="M3" s="75">
        <v>44272</v>
      </c>
    </row>
    <row r="4" spans="1:13">
      <c r="A4" s="73" t="s">
        <v>19</v>
      </c>
      <c r="B4" s="73" t="s">
        <v>492</v>
      </c>
      <c r="C4" s="73" t="s">
        <v>201</v>
      </c>
      <c r="E4" s="75">
        <v>470074</v>
      </c>
      <c r="G4" s="75">
        <v>522520</v>
      </c>
      <c r="I4" s="75">
        <v>574663</v>
      </c>
      <c r="K4" s="75">
        <v>661698</v>
      </c>
      <c r="M4" s="75">
        <v>369146</v>
      </c>
    </row>
    <row r="6" spans="1:13">
      <c r="A6" s="73" t="s">
        <v>20</v>
      </c>
      <c r="B6" s="73" t="s">
        <v>492</v>
      </c>
      <c r="C6" s="73" t="s">
        <v>829</v>
      </c>
      <c r="E6" s="75">
        <v>5941</v>
      </c>
      <c r="G6" s="75">
        <v>5776</v>
      </c>
      <c r="I6" s="75">
        <v>8463</v>
      </c>
      <c r="K6" s="75">
        <v>8267</v>
      </c>
      <c r="M6" s="75">
        <v>7699</v>
      </c>
    </row>
    <row r="7" spans="1:13">
      <c r="A7" s="73" t="s">
        <v>20</v>
      </c>
      <c r="B7" s="73" t="s">
        <v>492</v>
      </c>
      <c r="C7" s="73" t="s">
        <v>201</v>
      </c>
      <c r="E7" s="75">
        <v>41206</v>
      </c>
      <c r="G7" s="75">
        <v>37292</v>
      </c>
      <c r="I7" s="75">
        <v>51927</v>
      </c>
      <c r="K7" s="75">
        <v>50863</v>
      </c>
      <c r="M7" s="75">
        <v>46231</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369F-F427-42AD-8407-0E39A4A4160C}">
  <dimension ref="A1:M64"/>
  <sheetViews>
    <sheetView view="pageBreakPreview" zoomScaleNormal="100" zoomScaleSheetLayoutView="100" workbookViewId="0">
      <selection activeCell="B5" sqref="B5"/>
    </sheetView>
  </sheetViews>
  <sheetFormatPr defaultColWidth="9.1796875" defaultRowHeight="14"/>
  <cols>
    <col min="1" max="1" width="20.54296875" style="73" customWidth="1"/>
    <col min="2" max="2" width="26.26953125" style="73" bestFit="1" customWidth="1"/>
    <col min="3" max="3" width="15.26953125" style="73" bestFit="1" customWidth="1"/>
    <col min="4" max="4" width="3" style="73" bestFit="1" customWidth="1"/>
    <col min="5" max="5" width="7.26953125" style="73" bestFit="1" customWidth="1"/>
    <col min="6" max="6" width="3" style="73" bestFit="1" customWidth="1"/>
    <col min="7" max="7" width="7.26953125" style="73" bestFit="1" customWidth="1"/>
    <col min="8" max="8" width="3" style="73" bestFit="1" customWidth="1"/>
    <col min="9" max="9" width="7.26953125" style="73" bestFit="1" customWidth="1"/>
    <col min="10" max="10" width="3" style="73" bestFit="1" customWidth="1"/>
    <col min="11" max="11" width="7.26953125" style="73" bestFit="1" customWidth="1"/>
    <col min="12" max="12" width="3" style="73" bestFit="1" customWidth="1"/>
    <col min="13" max="13" width="7.26953125" style="73" bestFit="1" customWidth="1"/>
    <col min="14" max="16384" width="9.1796875" style="73"/>
  </cols>
  <sheetData>
    <row r="1" spans="1:13" ht="15.5">
      <c r="A1" s="72" t="s">
        <v>493</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494</v>
      </c>
      <c r="C3" s="73" t="s">
        <v>829</v>
      </c>
      <c r="D3" s="73" t="s">
        <v>209</v>
      </c>
      <c r="E3" s="75">
        <v>6343</v>
      </c>
      <c r="F3" s="73" t="s">
        <v>209</v>
      </c>
      <c r="G3" s="75">
        <v>6397</v>
      </c>
      <c r="H3" s="73" t="s">
        <v>209</v>
      </c>
      <c r="I3" s="75">
        <v>3887</v>
      </c>
      <c r="J3" s="73" t="s">
        <v>209</v>
      </c>
      <c r="K3" s="75">
        <v>4289</v>
      </c>
      <c r="L3" s="73" t="s">
        <v>209</v>
      </c>
      <c r="M3" s="75">
        <v>6008</v>
      </c>
    </row>
    <row r="4" spans="1:13">
      <c r="A4" s="73" t="s">
        <v>19</v>
      </c>
      <c r="B4" s="73" t="s">
        <v>494</v>
      </c>
      <c r="C4" s="73" t="s">
        <v>201</v>
      </c>
      <c r="D4" s="73" t="s">
        <v>209</v>
      </c>
      <c r="E4" s="75">
        <v>40402</v>
      </c>
      <c r="F4" s="73" t="s">
        <v>209</v>
      </c>
      <c r="G4" s="75">
        <v>34763</v>
      </c>
      <c r="H4" s="73" t="s">
        <v>209</v>
      </c>
      <c r="I4" s="75">
        <v>19561</v>
      </c>
      <c r="J4" s="73" t="s">
        <v>209</v>
      </c>
      <c r="K4" s="75">
        <v>19321</v>
      </c>
      <c r="L4" s="73" t="s">
        <v>209</v>
      </c>
      <c r="M4" s="75">
        <v>20482</v>
      </c>
    </row>
    <row r="6" spans="1:13">
      <c r="A6" s="73" t="s">
        <v>20</v>
      </c>
      <c r="B6" s="73" t="s">
        <v>494</v>
      </c>
      <c r="C6" s="73" t="s">
        <v>829</v>
      </c>
      <c r="D6" s="73" t="s">
        <v>209</v>
      </c>
      <c r="E6" s="73">
        <v>456</v>
      </c>
      <c r="F6" s="73" t="s">
        <v>209</v>
      </c>
      <c r="G6" s="73">
        <v>497</v>
      </c>
      <c r="H6" s="73" t="s">
        <v>209</v>
      </c>
      <c r="I6" s="73">
        <v>522</v>
      </c>
      <c r="J6" s="73" t="s">
        <v>209</v>
      </c>
      <c r="K6" s="73">
        <v>569</v>
      </c>
      <c r="L6" s="73" t="s">
        <v>209</v>
      </c>
      <c r="M6" s="73">
        <v>323</v>
      </c>
    </row>
    <row r="7" spans="1:13">
      <c r="A7" s="73" t="s">
        <v>20</v>
      </c>
      <c r="B7" s="73" t="s">
        <v>494</v>
      </c>
      <c r="C7" s="73" t="s">
        <v>201</v>
      </c>
      <c r="D7" s="73" t="s">
        <v>209</v>
      </c>
      <c r="E7" s="73">
        <v>831</v>
      </c>
      <c r="F7" s="73" t="s">
        <v>209</v>
      </c>
      <c r="G7" s="73">
        <v>682</v>
      </c>
      <c r="H7" s="73" t="s">
        <v>209</v>
      </c>
      <c r="I7" s="73">
        <v>672</v>
      </c>
      <c r="J7" s="73" t="s">
        <v>209</v>
      </c>
      <c r="K7" s="75">
        <v>1039</v>
      </c>
      <c r="L7" s="73" t="s">
        <v>209</v>
      </c>
      <c r="M7" s="73">
        <v>836</v>
      </c>
    </row>
    <row r="8" spans="1:13">
      <c r="A8" s="76"/>
      <c r="B8" s="76"/>
      <c r="C8" s="76"/>
      <c r="D8" s="76"/>
      <c r="E8" s="76"/>
      <c r="F8" s="76"/>
      <c r="G8" s="76"/>
      <c r="H8" s="76"/>
      <c r="I8" s="76"/>
      <c r="J8" s="76"/>
      <c r="K8" s="76"/>
      <c r="L8" s="76"/>
      <c r="M8" s="76"/>
    </row>
    <row r="10" spans="1:13">
      <c r="A10" s="73" t="s">
        <v>14</v>
      </c>
      <c r="B10" s="73" t="s">
        <v>15</v>
      </c>
    </row>
    <row r="11" spans="1:13">
      <c r="A11" s="73" t="s">
        <v>215</v>
      </c>
      <c r="B11" s="73" t="s">
        <v>495</v>
      </c>
    </row>
    <row r="14" spans="1:13">
      <c r="A14"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F9F8-A162-42C8-9E58-23919F0C3A8C}">
  <dimension ref="A1:M63"/>
  <sheetViews>
    <sheetView view="pageBreakPreview" zoomScaleNormal="100" zoomScaleSheetLayoutView="100" workbookViewId="0">
      <selection activeCell="B26" sqref="B26:I26"/>
    </sheetView>
  </sheetViews>
  <sheetFormatPr defaultColWidth="48.81640625" defaultRowHeight="14"/>
  <cols>
    <col min="1" max="1" width="21.453125" style="73" customWidth="1"/>
    <col min="2" max="2" width="26.1796875" style="79" bestFit="1" customWidth="1"/>
    <col min="3" max="3" width="14.54296875" style="73" bestFit="1" customWidth="1"/>
    <col min="4" max="4" width="3.453125" style="73" bestFit="1" customWidth="1"/>
    <col min="5" max="5" width="10.1796875" style="73" bestFit="1" customWidth="1"/>
    <col min="6" max="6" width="3.453125" style="73" bestFit="1" customWidth="1"/>
    <col min="7" max="7" width="10.1796875" style="73" bestFit="1" customWidth="1"/>
    <col min="8" max="8" width="3.453125" style="73" bestFit="1" customWidth="1"/>
    <col min="9" max="9" width="10.1796875" style="73" bestFit="1" customWidth="1"/>
    <col min="10" max="10" width="3.453125" style="73" bestFit="1" customWidth="1"/>
    <col min="11" max="11" width="10.1796875" style="73" bestFit="1" customWidth="1"/>
    <col min="12" max="12" width="3.453125" style="73" bestFit="1" customWidth="1"/>
    <col min="13" max="13" width="10.1796875" style="73" bestFit="1" customWidth="1"/>
    <col min="14" max="16384" width="48.81640625" style="73"/>
  </cols>
  <sheetData>
    <row r="1" spans="1:13">
      <c r="A1" s="92" t="s">
        <v>496</v>
      </c>
      <c r="B1" s="85"/>
      <c r="C1" s="86"/>
      <c r="D1" s="86"/>
      <c r="E1" s="86"/>
      <c r="F1" s="86"/>
      <c r="G1" s="86"/>
      <c r="H1" s="86"/>
      <c r="I1" s="86"/>
      <c r="J1" s="86"/>
      <c r="K1" s="86"/>
      <c r="L1" s="86"/>
      <c r="M1" s="86"/>
    </row>
    <row r="2" spans="1:13">
      <c r="A2" s="83" t="s">
        <v>670</v>
      </c>
      <c r="B2" s="84" t="s">
        <v>0</v>
      </c>
      <c r="C2" s="83" t="s">
        <v>669</v>
      </c>
      <c r="D2" s="83" t="s">
        <v>1</v>
      </c>
      <c r="E2" s="83">
        <v>2018</v>
      </c>
      <c r="F2" s="83" t="s">
        <v>1</v>
      </c>
      <c r="G2" s="83">
        <v>2019</v>
      </c>
      <c r="H2" s="83" t="s">
        <v>1</v>
      </c>
      <c r="I2" s="83">
        <v>2020</v>
      </c>
      <c r="J2" s="83" t="s">
        <v>1</v>
      </c>
      <c r="K2" s="83">
        <v>2021</v>
      </c>
      <c r="L2" s="83" t="s">
        <v>1</v>
      </c>
      <c r="M2" s="83">
        <v>2022</v>
      </c>
    </row>
    <row r="3" spans="1:13" ht="25.5">
      <c r="A3" s="86" t="s">
        <v>38</v>
      </c>
      <c r="B3" s="85" t="s">
        <v>725</v>
      </c>
      <c r="C3" s="86" t="s">
        <v>201</v>
      </c>
      <c r="D3" s="86" t="s">
        <v>205</v>
      </c>
      <c r="E3" s="87">
        <v>3339000</v>
      </c>
      <c r="F3" s="86" t="s">
        <v>205</v>
      </c>
      <c r="G3" s="87">
        <v>3144000</v>
      </c>
      <c r="H3" s="86" t="s">
        <v>205</v>
      </c>
      <c r="I3" s="87">
        <v>3327000</v>
      </c>
      <c r="J3" s="86" t="s">
        <v>205</v>
      </c>
      <c r="K3" s="87">
        <v>2625000</v>
      </c>
      <c r="L3" s="86" t="s">
        <v>205</v>
      </c>
      <c r="M3" s="87">
        <v>2817000</v>
      </c>
    </row>
    <row r="4" spans="1:13" ht="25.5">
      <c r="A4" s="86" t="s">
        <v>38</v>
      </c>
      <c r="B4" s="85" t="s">
        <v>499</v>
      </c>
      <c r="C4" s="86" t="s">
        <v>201</v>
      </c>
      <c r="D4" s="86"/>
      <c r="E4" s="87">
        <v>47848000</v>
      </c>
      <c r="F4" s="86"/>
      <c r="G4" s="87">
        <v>49344000</v>
      </c>
      <c r="H4" s="86"/>
      <c r="I4" s="87">
        <v>45658000</v>
      </c>
      <c r="J4" s="86"/>
      <c r="K4" s="87">
        <v>38239000</v>
      </c>
      <c r="L4" s="86"/>
      <c r="M4" s="87">
        <v>34935000</v>
      </c>
    </row>
    <row r="5" spans="1:13" ht="25.5">
      <c r="A5" s="86" t="s">
        <v>38</v>
      </c>
      <c r="B5" s="85" t="s">
        <v>726</v>
      </c>
      <c r="C5" s="86" t="s">
        <v>201</v>
      </c>
      <c r="D5" s="86"/>
      <c r="E5" s="87">
        <v>58205000</v>
      </c>
      <c r="F5" s="86"/>
      <c r="G5" s="87">
        <v>58726000</v>
      </c>
      <c r="H5" s="86"/>
      <c r="I5" s="87">
        <v>47859000</v>
      </c>
      <c r="J5" s="86"/>
      <c r="K5" s="87">
        <v>48162000</v>
      </c>
      <c r="L5" s="86"/>
      <c r="M5" s="87">
        <v>53960000</v>
      </c>
    </row>
    <row r="6" spans="1:13" ht="6" customHeight="1">
      <c r="A6" s="86"/>
      <c r="B6" s="85"/>
      <c r="C6" s="86"/>
      <c r="D6" s="86"/>
      <c r="E6" s="87"/>
      <c r="F6" s="86"/>
      <c r="G6" s="87"/>
      <c r="H6" s="86"/>
      <c r="I6" s="87"/>
      <c r="J6" s="86"/>
      <c r="K6" s="87"/>
      <c r="L6" s="86"/>
      <c r="M6" s="87"/>
    </row>
    <row r="7" spans="1:13">
      <c r="A7" s="86" t="s">
        <v>223</v>
      </c>
      <c r="B7" s="85" t="s">
        <v>497</v>
      </c>
      <c r="C7" s="86" t="s">
        <v>201</v>
      </c>
      <c r="D7" s="86"/>
      <c r="E7" s="87">
        <v>69806490</v>
      </c>
      <c r="F7" s="86"/>
      <c r="G7" s="87">
        <v>68514600</v>
      </c>
      <c r="H7" s="86"/>
      <c r="I7" s="87">
        <v>52598370</v>
      </c>
      <c r="J7" s="86"/>
      <c r="K7" s="87">
        <v>54453630</v>
      </c>
      <c r="L7" s="86"/>
      <c r="M7" s="87">
        <v>59458520</v>
      </c>
    </row>
    <row r="8" spans="1:13">
      <c r="A8" s="86" t="s">
        <v>223</v>
      </c>
      <c r="B8" s="85" t="s">
        <v>501</v>
      </c>
      <c r="C8" s="86" t="s">
        <v>201</v>
      </c>
      <c r="D8" s="86"/>
      <c r="E8" s="87">
        <v>6918000</v>
      </c>
      <c r="F8" s="86"/>
      <c r="G8" s="87">
        <v>6348000</v>
      </c>
      <c r="H8" s="86"/>
      <c r="I8" s="87">
        <v>5950000</v>
      </c>
      <c r="J8" s="86"/>
      <c r="K8" s="87">
        <v>4783000</v>
      </c>
      <c r="L8" s="86"/>
      <c r="M8" s="87">
        <v>4399000</v>
      </c>
    </row>
    <row r="9" spans="1:13" ht="25.5">
      <c r="A9" s="86" t="s">
        <v>223</v>
      </c>
      <c r="B9" s="85" t="s">
        <v>750</v>
      </c>
      <c r="C9" s="86" t="s">
        <v>201</v>
      </c>
      <c r="D9" s="86"/>
      <c r="E9" s="87">
        <v>59554000</v>
      </c>
      <c r="F9" s="86"/>
      <c r="G9" s="87">
        <v>58848000</v>
      </c>
      <c r="H9" s="86"/>
      <c r="I9" s="87">
        <v>44051000</v>
      </c>
      <c r="J9" s="86"/>
      <c r="K9" s="87">
        <v>47046000</v>
      </c>
      <c r="L9" s="86"/>
      <c r="M9" s="87">
        <v>52171000</v>
      </c>
    </row>
    <row r="10" spans="1:13" ht="25.5">
      <c r="A10" s="86" t="s">
        <v>223</v>
      </c>
      <c r="B10" s="85" t="s">
        <v>751</v>
      </c>
      <c r="C10" s="86" t="s">
        <v>201</v>
      </c>
      <c r="D10" s="86"/>
      <c r="E10" s="87">
        <v>3334000</v>
      </c>
      <c r="F10" s="86"/>
      <c r="G10" s="87">
        <v>3319000</v>
      </c>
      <c r="H10" s="86"/>
      <c r="I10" s="87">
        <v>2597000</v>
      </c>
      <c r="J10" s="86"/>
      <c r="K10" s="87">
        <v>2625000</v>
      </c>
      <c r="L10" s="86"/>
      <c r="M10" s="87">
        <v>2889000</v>
      </c>
    </row>
    <row r="11" spans="1:13" ht="6" customHeight="1">
      <c r="A11" s="86"/>
      <c r="B11" s="85"/>
      <c r="C11" s="86"/>
      <c r="D11" s="86"/>
      <c r="E11" s="87"/>
      <c r="F11" s="86"/>
      <c r="G11" s="87"/>
      <c r="H11" s="86"/>
      <c r="I11" s="87"/>
      <c r="J11" s="86"/>
      <c r="K11" s="87"/>
      <c r="L11" s="86"/>
      <c r="M11" s="87"/>
    </row>
    <row r="12" spans="1:13" ht="38">
      <c r="A12" s="85" t="s">
        <v>502</v>
      </c>
      <c r="B12" s="85" t="s">
        <v>503</v>
      </c>
      <c r="C12" s="86" t="s">
        <v>201</v>
      </c>
      <c r="D12" s="86"/>
      <c r="E12" s="87">
        <v>877000</v>
      </c>
      <c r="F12" s="86"/>
      <c r="G12" s="87">
        <v>757000</v>
      </c>
      <c r="H12" s="86"/>
      <c r="I12" s="87">
        <v>768000</v>
      </c>
      <c r="J12" s="86"/>
      <c r="K12" s="87">
        <v>844000</v>
      </c>
      <c r="L12" s="86"/>
      <c r="M12" s="87">
        <v>8060000</v>
      </c>
    </row>
    <row r="13" spans="1:13" ht="6" customHeight="1">
      <c r="A13" s="86"/>
      <c r="B13" s="85"/>
      <c r="C13" s="86"/>
      <c r="D13" s="86"/>
      <c r="E13" s="87"/>
      <c r="F13" s="86"/>
      <c r="G13" s="87"/>
      <c r="H13" s="86"/>
      <c r="I13" s="87"/>
      <c r="J13" s="86"/>
      <c r="K13" s="87"/>
      <c r="L13" s="86"/>
      <c r="M13" s="87"/>
    </row>
    <row r="14" spans="1:13" ht="25.5">
      <c r="A14" s="86" t="s">
        <v>19</v>
      </c>
      <c r="B14" s="85" t="s">
        <v>498</v>
      </c>
      <c r="C14" s="86" t="s">
        <v>829</v>
      </c>
      <c r="D14" s="86"/>
      <c r="E14" s="87">
        <v>16458324</v>
      </c>
      <c r="F14" s="86"/>
      <c r="G14" s="87">
        <v>5868175</v>
      </c>
      <c r="H14" s="86"/>
      <c r="I14" s="87">
        <v>2755493</v>
      </c>
      <c r="J14" s="86"/>
      <c r="K14" s="87">
        <v>3076035</v>
      </c>
      <c r="L14" s="86"/>
      <c r="M14" s="87">
        <v>9288457</v>
      </c>
    </row>
    <row r="15" spans="1:13" ht="25.5">
      <c r="A15" s="86" t="s">
        <v>19</v>
      </c>
      <c r="B15" s="85" t="s">
        <v>498</v>
      </c>
      <c r="C15" s="86" t="s">
        <v>201</v>
      </c>
      <c r="D15" s="86"/>
      <c r="E15" s="87">
        <v>36049170</v>
      </c>
      <c r="F15" s="86"/>
      <c r="G15" s="87">
        <v>13282335</v>
      </c>
      <c r="H15" s="86"/>
      <c r="I15" s="87">
        <v>9546298</v>
      </c>
      <c r="J15" s="86"/>
      <c r="K15" s="87">
        <v>6856267</v>
      </c>
      <c r="L15" s="86"/>
      <c r="M15" s="87">
        <v>11277556</v>
      </c>
    </row>
    <row r="16" spans="1:13">
      <c r="A16" s="86" t="s">
        <v>19</v>
      </c>
      <c r="B16" s="85" t="s">
        <v>500</v>
      </c>
      <c r="C16" s="86" t="s">
        <v>829</v>
      </c>
      <c r="D16" s="86"/>
      <c r="E16" s="87">
        <v>19739796</v>
      </c>
      <c r="F16" s="86"/>
      <c r="G16" s="87">
        <v>19203974</v>
      </c>
      <c r="H16" s="86"/>
      <c r="I16" s="87">
        <v>12141988</v>
      </c>
      <c r="J16" s="86"/>
      <c r="K16" s="87">
        <v>17412121</v>
      </c>
      <c r="L16" s="86"/>
      <c r="M16" s="87">
        <v>32013233</v>
      </c>
    </row>
    <row r="17" spans="1:13">
      <c r="A17" s="86" t="s">
        <v>19</v>
      </c>
      <c r="B17" s="85" t="s">
        <v>500</v>
      </c>
      <c r="C17" s="86" t="s">
        <v>201</v>
      </c>
      <c r="D17" s="86"/>
      <c r="E17" s="87">
        <v>48064186</v>
      </c>
      <c r="F17" s="86"/>
      <c r="G17" s="87">
        <v>49925112</v>
      </c>
      <c r="H17" s="86"/>
      <c r="I17" s="87">
        <v>45724018</v>
      </c>
      <c r="J17" s="86"/>
      <c r="K17" s="87">
        <v>44641439</v>
      </c>
      <c r="L17" s="86"/>
      <c r="M17" s="87">
        <v>51895615</v>
      </c>
    </row>
    <row r="18" spans="1:13" ht="6" customHeight="1">
      <c r="A18" s="86"/>
      <c r="B18" s="85"/>
      <c r="C18" s="86"/>
      <c r="D18" s="86"/>
      <c r="E18" s="86"/>
      <c r="F18" s="86"/>
      <c r="G18" s="86"/>
      <c r="H18" s="86"/>
      <c r="I18" s="86"/>
      <c r="J18" s="86"/>
      <c r="K18" s="86"/>
      <c r="L18" s="86"/>
      <c r="M18" s="86"/>
    </row>
    <row r="19" spans="1:13" ht="25.5">
      <c r="A19" s="86" t="s">
        <v>20</v>
      </c>
      <c r="B19" s="85" t="s">
        <v>498</v>
      </c>
      <c r="C19" s="86" t="s">
        <v>829</v>
      </c>
      <c r="D19" s="86"/>
      <c r="E19" s="87">
        <v>10580955</v>
      </c>
      <c r="F19" s="86"/>
      <c r="G19" s="87">
        <v>1887489</v>
      </c>
      <c r="H19" s="86"/>
      <c r="I19" s="87">
        <v>1126855</v>
      </c>
      <c r="J19" s="86"/>
      <c r="K19" s="87">
        <v>1864506</v>
      </c>
      <c r="L19" s="86"/>
      <c r="M19" s="87">
        <v>2974723</v>
      </c>
    </row>
    <row r="20" spans="1:13" ht="25.5">
      <c r="A20" s="86" t="s">
        <v>20</v>
      </c>
      <c r="B20" s="85" t="s">
        <v>498</v>
      </c>
      <c r="C20" s="86" t="s">
        <v>201</v>
      </c>
      <c r="D20" s="86"/>
      <c r="E20" s="87">
        <v>22448030</v>
      </c>
      <c r="F20" s="86"/>
      <c r="G20" s="87">
        <v>4121764</v>
      </c>
      <c r="H20" s="86"/>
      <c r="I20" s="87">
        <v>3630087</v>
      </c>
      <c r="J20" s="86"/>
      <c r="K20" s="87">
        <v>3979025</v>
      </c>
      <c r="L20" s="86"/>
      <c r="M20" s="87">
        <v>3797244</v>
      </c>
    </row>
    <row r="21" spans="1:13">
      <c r="A21" s="86" t="s">
        <v>20</v>
      </c>
      <c r="B21" s="85" t="s">
        <v>500</v>
      </c>
      <c r="C21" s="86" t="s">
        <v>829</v>
      </c>
      <c r="D21" s="86"/>
      <c r="E21" s="87">
        <v>20360353</v>
      </c>
      <c r="F21" s="86"/>
      <c r="G21" s="87">
        <v>18191562</v>
      </c>
      <c r="H21" s="86"/>
      <c r="I21" s="87">
        <v>12519045</v>
      </c>
      <c r="J21" s="86"/>
      <c r="K21" s="87">
        <v>12363029</v>
      </c>
      <c r="L21" s="86"/>
      <c r="M21" s="87">
        <v>20368038</v>
      </c>
    </row>
    <row r="22" spans="1:13">
      <c r="A22" s="86" t="s">
        <v>20</v>
      </c>
      <c r="B22" s="85" t="s">
        <v>500</v>
      </c>
      <c r="C22" s="86" t="s">
        <v>201</v>
      </c>
      <c r="D22" s="86"/>
      <c r="E22" s="87">
        <v>49786125</v>
      </c>
      <c r="F22" s="86"/>
      <c r="G22" s="87">
        <v>45479841</v>
      </c>
      <c r="H22" s="86"/>
      <c r="I22" s="87">
        <v>46152559</v>
      </c>
      <c r="J22" s="86"/>
      <c r="K22" s="87">
        <v>33639282</v>
      </c>
      <c r="L22" s="86"/>
      <c r="M22" s="87">
        <v>32978043</v>
      </c>
    </row>
    <row r="23" spans="1:13" ht="6" customHeight="1">
      <c r="A23" s="88"/>
      <c r="B23" s="89"/>
      <c r="C23" s="88"/>
      <c r="D23" s="88"/>
      <c r="E23" s="88"/>
      <c r="F23" s="88"/>
      <c r="G23" s="88"/>
      <c r="H23" s="88"/>
      <c r="I23" s="88"/>
      <c r="J23" s="88"/>
      <c r="K23" s="88"/>
      <c r="L23" s="88"/>
      <c r="M23" s="88"/>
    </row>
    <row r="24" spans="1:13" ht="6" customHeight="1">
      <c r="A24" s="86"/>
      <c r="B24" s="85"/>
      <c r="C24" s="86"/>
      <c r="D24" s="86"/>
      <c r="E24" s="86"/>
      <c r="F24" s="86"/>
      <c r="G24" s="86"/>
      <c r="H24" s="86"/>
      <c r="I24" s="86"/>
      <c r="J24" s="86"/>
      <c r="K24" s="86"/>
      <c r="L24" s="86"/>
      <c r="M24" s="86"/>
    </row>
    <row r="25" spans="1:13">
      <c r="A25" s="86" t="s">
        <v>14</v>
      </c>
      <c r="B25" s="85" t="s">
        <v>15</v>
      </c>
      <c r="C25" s="86"/>
      <c r="D25" s="86"/>
      <c r="E25" s="86"/>
      <c r="F25" s="86"/>
      <c r="G25" s="86"/>
      <c r="H25" s="86"/>
      <c r="I25" s="86"/>
      <c r="J25" s="86"/>
      <c r="K25" s="86"/>
      <c r="L25" s="86"/>
      <c r="M25" s="86"/>
    </row>
    <row r="26" spans="1:13">
      <c r="A26" s="86" t="s">
        <v>214</v>
      </c>
      <c r="B26" s="112" t="s">
        <v>117</v>
      </c>
      <c r="C26" s="112"/>
      <c r="D26" s="112"/>
      <c r="E26" s="112"/>
      <c r="F26" s="112"/>
      <c r="G26" s="112"/>
      <c r="H26" s="112"/>
      <c r="I26" s="112"/>
      <c r="J26" s="86"/>
      <c r="K26" s="86"/>
      <c r="L26" s="86"/>
      <c r="M26" s="86"/>
    </row>
    <row r="27" spans="1:13" ht="6" customHeight="1">
      <c r="A27" s="86"/>
      <c r="B27" s="85"/>
      <c r="C27" s="86"/>
      <c r="D27" s="86"/>
      <c r="E27" s="86"/>
      <c r="F27" s="86"/>
      <c r="G27" s="86"/>
      <c r="H27" s="86"/>
      <c r="I27" s="86"/>
      <c r="J27" s="86"/>
      <c r="K27" s="86"/>
      <c r="L27" s="86"/>
      <c r="M27" s="86"/>
    </row>
    <row r="28" spans="1:13">
      <c r="A28" s="90" t="str">
        <f>HYPERLINK("[UKMY 2023 PrintableV1.1 12_09_24.xlsx]Contents!A1","Return to contents page")</f>
        <v>Return to contents page</v>
      </c>
      <c r="B28" s="85"/>
      <c r="C28" s="86"/>
      <c r="D28" s="86"/>
      <c r="E28" s="86"/>
      <c r="F28" s="86"/>
      <c r="G28" s="86"/>
      <c r="H28" s="86"/>
      <c r="I28" s="86"/>
      <c r="J28" s="86"/>
      <c r="K28" s="86"/>
      <c r="L28" s="86"/>
      <c r="M28" s="86"/>
    </row>
    <row r="63" spans="5:5">
      <c r="E63" s="78"/>
    </row>
  </sheetData>
  <sortState xmlns:xlrd2="http://schemas.microsoft.com/office/spreadsheetml/2017/richdata2" ref="A3:M22">
    <sortCondition ref="A7:A22"/>
    <sortCondition ref="B7:B22"/>
  </sortState>
  <mergeCells count="1">
    <mergeCell ref="B26:I26"/>
  </mergeCell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9E5E-B81E-403B-9B88-9C17C141A898}">
  <dimension ref="A1:M64"/>
  <sheetViews>
    <sheetView view="pageBreakPreview" zoomScaleNormal="100" zoomScaleSheetLayoutView="100" workbookViewId="0"/>
  </sheetViews>
  <sheetFormatPr defaultColWidth="9.1796875" defaultRowHeight="14"/>
  <cols>
    <col min="1" max="1" width="13.1796875" style="73" customWidth="1"/>
    <col min="2" max="2" width="44.1796875" style="79" customWidth="1"/>
    <col min="3" max="3" width="15.26953125" style="73" bestFit="1" customWidth="1"/>
    <col min="4" max="4" width="2.1796875" style="73" bestFit="1" customWidth="1"/>
    <col min="5" max="5" width="8.453125" style="73" bestFit="1" customWidth="1"/>
    <col min="6" max="6" width="4.54296875" style="73" bestFit="1" customWidth="1"/>
    <col min="7" max="7" width="8.453125" style="73" bestFit="1" customWidth="1"/>
    <col min="8" max="8" width="4.54296875" style="73" bestFit="1" customWidth="1"/>
    <col min="9" max="9" width="8.453125" style="73" bestFit="1" customWidth="1"/>
    <col min="10" max="10" width="2.1796875" style="73" bestFit="1" customWidth="1"/>
    <col min="11" max="11" width="8.453125" style="73" bestFit="1" customWidth="1"/>
    <col min="12" max="12" width="2.1796875" style="73" bestFit="1" customWidth="1"/>
    <col min="13" max="13" width="8.453125" style="73" bestFit="1" customWidth="1"/>
    <col min="14" max="16384" width="9.1796875" style="73"/>
  </cols>
  <sheetData>
    <row r="1" spans="1:13" ht="15.5">
      <c r="A1" s="72" t="s">
        <v>513</v>
      </c>
    </row>
    <row r="2" spans="1:13">
      <c r="A2" s="74" t="s">
        <v>670</v>
      </c>
      <c r="B2" s="80" t="s">
        <v>0</v>
      </c>
      <c r="C2" s="74" t="s">
        <v>669</v>
      </c>
      <c r="D2" s="74" t="s">
        <v>1</v>
      </c>
      <c r="E2" s="74">
        <v>2018</v>
      </c>
      <c r="F2" s="74" t="s">
        <v>1</v>
      </c>
      <c r="G2" s="74">
        <v>2019</v>
      </c>
      <c r="H2" s="74" t="s">
        <v>1</v>
      </c>
      <c r="I2" s="74">
        <v>2020</v>
      </c>
      <c r="J2" s="74" t="s">
        <v>1</v>
      </c>
      <c r="K2" s="74">
        <v>2021</v>
      </c>
      <c r="L2" s="74" t="s">
        <v>1</v>
      </c>
      <c r="M2" s="74">
        <v>2022</v>
      </c>
    </row>
    <row r="3" spans="1:13">
      <c r="A3" s="73" t="s">
        <v>19</v>
      </c>
      <c r="B3" s="79" t="s">
        <v>514</v>
      </c>
      <c r="C3" s="73" t="s">
        <v>829</v>
      </c>
      <c r="E3" s="73">
        <v>124</v>
      </c>
      <c r="G3" s="73">
        <v>231</v>
      </c>
      <c r="I3" s="73">
        <v>217</v>
      </c>
      <c r="K3" s="73">
        <v>93</v>
      </c>
      <c r="M3" s="75">
        <v>1719</v>
      </c>
    </row>
    <row r="4" spans="1:13">
      <c r="A4" s="73" t="s">
        <v>19</v>
      </c>
      <c r="B4" s="79" t="s">
        <v>514</v>
      </c>
      <c r="C4" s="73" t="s">
        <v>201</v>
      </c>
      <c r="E4" s="73">
        <v>168</v>
      </c>
      <c r="G4" s="73">
        <v>263</v>
      </c>
      <c r="I4" s="73">
        <v>380</v>
      </c>
      <c r="K4" s="73">
        <v>180</v>
      </c>
      <c r="M4" s="75">
        <v>3928</v>
      </c>
    </row>
    <row r="5" spans="1:13">
      <c r="A5" s="73" t="s">
        <v>19</v>
      </c>
      <c r="B5" s="79" t="s">
        <v>515</v>
      </c>
      <c r="C5" s="73" t="s">
        <v>829</v>
      </c>
      <c r="E5" s="75">
        <v>42418</v>
      </c>
      <c r="G5" s="75">
        <v>43682</v>
      </c>
      <c r="I5" s="75">
        <v>35182</v>
      </c>
      <c r="K5" s="75">
        <v>42745</v>
      </c>
      <c r="M5" s="75">
        <v>68757</v>
      </c>
    </row>
    <row r="6" spans="1:13">
      <c r="A6" s="73" t="s">
        <v>19</v>
      </c>
      <c r="B6" s="79" t="s">
        <v>515</v>
      </c>
      <c r="C6" s="73" t="s">
        <v>201</v>
      </c>
      <c r="E6" s="75">
        <v>96918</v>
      </c>
      <c r="G6" s="75">
        <v>99703</v>
      </c>
      <c r="I6" s="75">
        <v>79511</v>
      </c>
      <c r="K6" s="75">
        <v>82516</v>
      </c>
      <c r="M6" s="75">
        <v>77387</v>
      </c>
    </row>
    <row r="7" spans="1:13">
      <c r="A7" s="73" t="s">
        <v>19</v>
      </c>
      <c r="B7" s="79" t="s">
        <v>516</v>
      </c>
      <c r="C7" s="73" t="s">
        <v>829</v>
      </c>
      <c r="E7" s="75">
        <v>47843</v>
      </c>
      <c r="G7" s="75">
        <v>48970</v>
      </c>
      <c r="I7" s="75">
        <v>40351</v>
      </c>
      <c r="K7" s="75">
        <v>54262</v>
      </c>
      <c r="M7" s="75">
        <v>57946</v>
      </c>
    </row>
    <row r="8" spans="1:13">
      <c r="A8" s="73" t="s">
        <v>19</v>
      </c>
      <c r="B8" s="79" t="s">
        <v>516</v>
      </c>
      <c r="C8" s="73" t="s">
        <v>201</v>
      </c>
      <c r="E8" s="75">
        <v>144232</v>
      </c>
      <c r="G8" s="75">
        <v>147062</v>
      </c>
      <c r="I8" s="75">
        <v>149117</v>
      </c>
      <c r="K8" s="75">
        <v>134724</v>
      </c>
      <c r="M8" s="75">
        <v>65367</v>
      </c>
    </row>
    <row r="9" spans="1:13">
      <c r="A9" s="73" t="s">
        <v>19</v>
      </c>
      <c r="B9" s="79" t="s">
        <v>517</v>
      </c>
      <c r="C9" s="73" t="s">
        <v>829</v>
      </c>
    </row>
    <row r="10" spans="1:13">
      <c r="A10" s="73" t="s">
        <v>19</v>
      </c>
      <c r="B10" s="79" t="s">
        <v>517</v>
      </c>
      <c r="C10" s="73" t="s">
        <v>201</v>
      </c>
    </row>
    <row r="11" spans="1:13">
      <c r="A11" s="73" t="s">
        <v>19</v>
      </c>
      <c r="B11" s="79" t="s">
        <v>518</v>
      </c>
      <c r="C11" s="73" t="s">
        <v>829</v>
      </c>
      <c r="E11" s="75">
        <v>4281</v>
      </c>
      <c r="G11" s="75">
        <v>1767</v>
      </c>
      <c r="I11" s="75">
        <v>1567</v>
      </c>
      <c r="K11" s="75">
        <v>1334</v>
      </c>
      <c r="M11" s="75">
        <v>3935</v>
      </c>
    </row>
    <row r="12" spans="1:13">
      <c r="A12" s="73" t="s">
        <v>19</v>
      </c>
      <c r="B12" s="79" t="s">
        <v>518</v>
      </c>
      <c r="C12" s="73" t="s">
        <v>201</v>
      </c>
      <c r="E12" s="75">
        <v>1817</v>
      </c>
      <c r="G12" s="73">
        <v>698</v>
      </c>
      <c r="I12" s="73">
        <v>576</v>
      </c>
      <c r="K12" s="73">
        <v>663</v>
      </c>
      <c r="M12" s="73">
        <v>660</v>
      </c>
    </row>
    <row r="13" spans="1:13">
      <c r="A13" s="73" t="s">
        <v>19</v>
      </c>
      <c r="B13" s="79" t="s">
        <v>519</v>
      </c>
      <c r="C13" s="73" t="s">
        <v>829</v>
      </c>
      <c r="E13" s="73">
        <v>704</v>
      </c>
      <c r="G13" s="75">
        <v>1073</v>
      </c>
      <c r="I13" s="73">
        <v>318</v>
      </c>
      <c r="K13" s="73">
        <v>794</v>
      </c>
      <c r="M13" s="73">
        <v>298</v>
      </c>
    </row>
    <row r="14" spans="1:13">
      <c r="A14" s="73" t="s">
        <v>19</v>
      </c>
      <c r="B14" s="79" t="s">
        <v>519</v>
      </c>
      <c r="C14" s="73" t="s">
        <v>201</v>
      </c>
      <c r="E14" s="75">
        <v>2520</v>
      </c>
      <c r="G14" s="75">
        <v>4772</v>
      </c>
      <c r="I14" s="73">
        <v>270</v>
      </c>
      <c r="K14" s="75">
        <v>3345</v>
      </c>
      <c r="M14" s="73">
        <v>190</v>
      </c>
    </row>
    <row r="15" spans="1:13">
      <c r="A15" s="73" t="s">
        <v>19</v>
      </c>
      <c r="B15" s="79" t="s">
        <v>520</v>
      </c>
      <c r="C15" s="73" t="s">
        <v>829</v>
      </c>
      <c r="E15" s="75">
        <v>48082</v>
      </c>
      <c r="G15" s="75">
        <v>49355</v>
      </c>
      <c r="I15" s="75">
        <v>52190</v>
      </c>
      <c r="K15" s="75">
        <v>48134</v>
      </c>
      <c r="M15" s="75">
        <v>102726</v>
      </c>
    </row>
    <row r="16" spans="1:13">
      <c r="A16" s="73" t="s">
        <v>19</v>
      </c>
      <c r="B16" s="79" t="s">
        <v>520</v>
      </c>
      <c r="C16" s="73" t="s">
        <v>201</v>
      </c>
      <c r="E16" s="75">
        <v>73845</v>
      </c>
      <c r="G16" s="75">
        <v>71881</v>
      </c>
      <c r="I16" s="75">
        <v>79463</v>
      </c>
      <c r="K16" s="75">
        <v>66511</v>
      </c>
      <c r="M16" s="75">
        <v>62193</v>
      </c>
    </row>
    <row r="17" spans="1:13" ht="28">
      <c r="A17" s="73" t="s">
        <v>19</v>
      </c>
      <c r="B17" s="79" t="s">
        <v>521</v>
      </c>
      <c r="C17" s="73" t="s">
        <v>829</v>
      </c>
      <c r="E17" s="75">
        <v>30857</v>
      </c>
      <c r="G17" s="75">
        <v>31124</v>
      </c>
      <c r="I17" s="75">
        <v>28754</v>
      </c>
      <c r="K17" s="75">
        <v>32015</v>
      </c>
      <c r="M17" s="75">
        <v>56541</v>
      </c>
    </row>
    <row r="18" spans="1:13" ht="28">
      <c r="A18" s="73" t="s">
        <v>19</v>
      </c>
      <c r="B18" s="79" t="s">
        <v>521</v>
      </c>
      <c r="C18" s="73" t="s">
        <v>201</v>
      </c>
      <c r="E18" s="75">
        <v>37600</v>
      </c>
      <c r="G18" s="75">
        <v>32162</v>
      </c>
      <c r="I18" s="75">
        <v>27487</v>
      </c>
      <c r="K18" s="75">
        <v>19258</v>
      </c>
      <c r="M18" s="75">
        <v>29257</v>
      </c>
    </row>
    <row r="19" spans="1:13" ht="28">
      <c r="A19" s="73" t="s">
        <v>19</v>
      </c>
      <c r="B19" s="79" t="s">
        <v>727</v>
      </c>
      <c r="C19" s="73" t="s">
        <v>829</v>
      </c>
      <c r="E19" s="75">
        <v>9369</v>
      </c>
      <c r="G19" s="75">
        <v>9691</v>
      </c>
      <c r="I19" s="75">
        <v>8961</v>
      </c>
      <c r="K19" s="75">
        <v>10063</v>
      </c>
      <c r="M19" s="75">
        <v>17348</v>
      </c>
    </row>
    <row r="20" spans="1:13" ht="28">
      <c r="A20" s="73" t="s">
        <v>19</v>
      </c>
      <c r="B20" s="79" t="s">
        <v>727</v>
      </c>
      <c r="C20" s="73" t="s">
        <v>201</v>
      </c>
      <c r="E20" s="75">
        <v>8288</v>
      </c>
      <c r="G20" s="75">
        <v>9507</v>
      </c>
      <c r="I20" s="75">
        <v>8730</v>
      </c>
      <c r="K20" s="75">
        <v>9188</v>
      </c>
      <c r="M20" s="75">
        <v>9691</v>
      </c>
    </row>
    <row r="21" spans="1:13">
      <c r="A21" s="73" t="s">
        <v>19</v>
      </c>
      <c r="B21" s="79" t="s">
        <v>522</v>
      </c>
      <c r="C21" s="73" t="s">
        <v>829</v>
      </c>
      <c r="E21" s="75">
        <v>47552</v>
      </c>
      <c r="G21" s="75">
        <v>40917</v>
      </c>
      <c r="I21" s="75">
        <v>26636</v>
      </c>
      <c r="K21" s="75">
        <v>22256</v>
      </c>
      <c r="M21" s="75">
        <v>43556</v>
      </c>
    </row>
    <row r="22" spans="1:13">
      <c r="A22" s="73" t="s">
        <v>19</v>
      </c>
      <c r="B22" s="79" t="s">
        <v>522</v>
      </c>
      <c r="C22" s="73" t="s">
        <v>201</v>
      </c>
      <c r="E22" s="75">
        <v>171743</v>
      </c>
      <c r="G22" s="75">
        <v>160914</v>
      </c>
      <c r="I22" s="75">
        <v>141084</v>
      </c>
      <c r="K22" s="75">
        <v>93263</v>
      </c>
      <c r="M22" s="75">
        <v>53017</v>
      </c>
    </row>
    <row r="23" spans="1:13">
      <c r="E23" s="75"/>
      <c r="G23" s="75"/>
      <c r="I23" s="75"/>
      <c r="K23" s="75"/>
      <c r="M23" s="75"/>
    </row>
    <row r="24" spans="1:13">
      <c r="A24" s="73" t="s">
        <v>20</v>
      </c>
      <c r="B24" s="79" t="s">
        <v>514</v>
      </c>
      <c r="C24" s="73" t="s">
        <v>829</v>
      </c>
      <c r="E24" s="75">
        <v>1193</v>
      </c>
      <c r="G24" s="73">
        <v>790</v>
      </c>
      <c r="I24" s="73">
        <v>230</v>
      </c>
      <c r="K24" s="73">
        <v>206</v>
      </c>
      <c r="M24" s="75">
        <v>2130</v>
      </c>
    </row>
    <row r="25" spans="1:13">
      <c r="A25" s="73" t="s">
        <v>20</v>
      </c>
      <c r="B25" s="79" t="s">
        <v>514</v>
      </c>
      <c r="C25" s="73" t="s">
        <v>201</v>
      </c>
      <c r="E25" s="73">
        <v>281</v>
      </c>
      <c r="G25" s="73">
        <v>63</v>
      </c>
      <c r="I25" s="73">
        <v>473</v>
      </c>
      <c r="K25" s="73">
        <v>203</v>
      </c>
      <c r="M25" s="75">
        <v>2177</v>
      </c>
    </row>
    <row r="26" spans="1:13">
      <c r="A26" s="73" t="s">
        <v>20</v>
      </c>
      <c r="B26" s="79" t="s">
        <v>515</v>
      </c>
      <c r="C26" s="73" t="s">
        <v>829</v>
      </c>
      <c r="E26" s="75">
        <v>1623</v>
      </c>
      <c r="G26" s="75">
        <v>2547</v>
      </c>
      <c r="I26" s="75">
        <v>2663</v>
      </c>
      <c r="K26" s="75">
        <v>3678</v>
      </c>
      <c r="M26" s="75">
        <v>6327</v>
      </c>
    </row>
    <row r="27" spans="1:13">
      <c r="A27" s="73" t="s">
        <v>20</v>
      </c>
      <c r="B27" s="79" t="s">
        <v>515</v>
      </c>
      <c r="C27" s="73" t="s">
        <v>201</v>
      </c>
      <c r="E27" s="75">
        <v>1422</v>
      </c>
      <c r="G27" s="75">
        <v>1829</v>
      </c>
      <c r="I27" s="75">
        <v>3224</v>
      </c>
      <c r="K27" s="75">
        <v>2930</v>
      </c>
      <c r="M27" s="75">
        <v>4073</v>
      </c>
    </row>
    <row r="28" spans="1:13">
      <c r="A28" s="73" t="s">
        <v>20</v>
      </c>
      <c r="B28" s="79" t="s">
        <v>516</v>
      </c>
      <c r="C28" s="73" t="s">
        <v>829</v>
      </c>
      <c r="E28" s="73">
        <v>810</v>
      </c>
      <c r="G28" s="73">
        <v>652</v>
      </c>
      <c r="I28" s="73">
        <v>635</v>
      </c>
      <c r="K28" s="75">
        <v>1053</v>
      </c>
      <c r="M28" s="75">
        <v>8312</v>
      </c>
    </row>
    <row r="29" spans="1:13">
      <c r="A29" s="73" t="s">
        <v>20</v>
      </c>
      <c r="B29" s="79" t="s">
        <v>516</v>
      </c>
      <c r="C29" s="73" t="s">
        <v>201</v>
      </c>
      <c r="E29" s="75">
        <v>1002</v>
      </c>
      <c r="G29" s="73">
        <v>712</v>
      </c>
      <c r="I29" s="73">
        <v>826</v>
      </c>
      <c r="K29" s="73">
        <v>518</v>
      </c>
      <c r="M29" s="75">
        <v>2675</v>
      </c>
    </row>
    <row r="30" spans="1:13">
      <c r="A30" s="73" t="s">
        <v>20</v>
      </c>
      <c r="B30" s="79" t="s">
        <v>517</v>
      </c>
      <c r="C30" s="73" t="s">
        <v>829</v>
      </c>
    </row>
    <row r="31" spans="1:13">
      <c r="A31" s="73" t="s">
        <v>20</v>
      </c>
      <c r="B31" s="79" t="s">
        <v>517</v>
      </c>
      <c r="C31" s="73" t="s">
        <v>201</v>
      </c>
    </row>
    <row r="32" spans="1:13">
      <c r="A32" s="73" t="s">
        <v>20</v>
      </c>
      <c r="B32" s="79" t="s">
        <v>518</v>
      </c>
      <c r="C32" s="73" t="s">
        <v>829</v>
      </c>
      <c r="E32" s="73">
        <v>18</v>
      </c>
      <c r="G32" s="73">
        <v>20</v>
      </c>
      <c r="I32" s="73">
        <v>13</v>
      </c>
      <c r="K32" s="73">
        <v>4</v>
      </c>
      <c r="M32" s="73">
        <v>9</v>
      </c>
    </row>
    <row r="33" spans="1:13">
      <c r="A33" s="73" t="s">
        <v>20</v>
      </c>
      <c r="B33" s="79" t="s">
        <v>518</v>
      </c>
      <c r="C33" s="73" t="s">
        <v>201</v>
      </c>
      <c r="E33" s="73">
        <v>0</v>
      </c>
      <c r="G33" s="73">
        <v>8</v>
      </c>
      <c r="I33" s="73">
        <v>23</v>
      </c>
      <c r="K33" s="73">
        <v>0</v>
      </c>
      <c r="M33" s="73">
        <v>8</v>
      </c>
    </row>
    <row r="34" spans="1:13">
      <c r="A34" s="73" t="s">
        <v>20</v>
      </c>
      <c r="B34" s="79" t="s">
        <v>519</v>
      </c>
      <c r="C34" s="73" t="s">
        <v>829</v>
      </c>
      <c r="E34" s="73">
        <v>956</v>
      </c>
      <c r="G34" s="73">
        <v>657</v>
      </c>
      <c r="I34" s="73">
        <v>719</v>
      </c>
      <c r="K34" s="73">
        <v>485</v>
      </c>
      <c r="M34" s="73">
        <v>281</v>
      </c>
    </row>
    <row r="35" spans="1:13">
      <c r="A35" s="73" t="s">
        <v>20</v>
      </c>
      <c r="B35" s="79" t="s">
        <v>519</v>
      </c>
      <c r="C35" s="73" t="s">
        <v>201</v>
      </c>
      <c r="E35" s="75">
        <v>6604</v>
      </c>
      <c r="G35" s="75">
        <v>5138</v>
      </c>
      <c r="I35" s="75">
        <v>1677</v>
      </c>
      <c r="K35" s="75">
        <v>1876</v>
      </c>
      <c r="M35" s="75">
        <v>1160</v>
      </c>
    </row>
    <row r="36" spans="1:13">
      <c r="A36" s="73" t="s">
        <v>20</v>
      </c>
      <c r="B36" s="79" t="s">
        <v>520</v>
      </c>
      <c r="C36" s="73" t="s">
        <v>829</v>
      </c>
      <c r="E36" s="75">
        <v>1945</v>
      </c>
      <c r="G36" s="75">
        <v>6455</v>
      </c>
      <c r="I36" s="75">
        <v>7493</v>
      </c>
      <c r="K36" s="75">
        <v>9150</v>
      </c>
      <c r="M36" s="75">
        <v>21859</v>
      </c>
    </row>
    <row r="37" spans="1:13">
      <c r="A37" s="73" t="s">
        <v>20</v>
      </c>
      <c r="B37" s="79" t="s">
        <v>520</v>
      </c>
      <c r="C37" s="73" t="s">
        <v>201</v>
      </c>
      <c r="E37" s="75">
        <v>1715</v>
      </c>
      <c r="G37" s="75">
        <v>7502</v>
      </c>
      <c r="I37" s="75">
        <v>9063</v>
      </c>
      <c r="K37" s="75">
        <v>10526</v>
      </c>
      <c r="M37" s="75">
        <v>12544</v>
      </c>
    </row>
    <row r="38" spans="1:13" ht="28">
      <c r="A38" s="73" t="s">
        <v>20</v>
      </c>
      <c r="B38" s="79" t="s">
        <v>521</v>
      </c>
      <c r="C38" s="73" t="s">
        <v>829</v>
      </c>
      <c r="E38" s="75">
        <v>4096</v>
      </c>
      <c r="G38" s="75">
        <v>3641</v>
      </c>
      <c r="I38" s="75">
        <v>4845</v>
      </c>
      <c r="K38" s="75">
        <v>1770</v>
      </c>
      <c r="M38" s="75">
        <v>2245</v>
      </c>
    </row>
    <row r="39" spans="1:13" ht="28">
      <c r="A39" s="73" t="s">
        <v>20</v>
      </c>
      <c r="B39" s="79" t="s">
        <v>521</v>
      </c>
      <c r="C39" s="73" t="s">
        <v>201</v>
      </c>
      <c r="E39" s="75">
        <v>1213</v>
      </c>
      <c r="G39" s="75">
        <v>1555</v>
      </c>
      <c r="I39" s="75">
        <v>1251</v>
      </c>
      <c r="K39" s="73">
        <v>743</v>
      </c>
      <c r="M39" s="73">
        <v>683</v>
      </c>
    </row>
    <row r="40" spans="1:13" ht="28">
      <c r="A40" s="73" t="s">
        <v>20</v>
      </c>
      <c r="B40" s="79" t="s">
        <v>727</v>
      </c>
      <c r="C40" s="73" t="s">
        <v>829</v>
      </c>
      <c r="E40" s="75">
        <v>1308</v>
      </c>
      <c r="G40" s="75">
        <v>1238</v>
      </c>
      <c r="I40" s="73">
        <v>972</v>
      </c>
      <c r="K40" s="73">
        <v>659</v>
      </c>
      <c r="M40" s="75">
        <v>1000</v>
      </c>
    </row>
    <row r="41" spans="1:13" ht="28">
      <c r="A41" s="73" t="s">
        <v>20</v>
      </c>
      <c r="B41" s="79" t="s">
        <v>727</v>
      </c>
      <c r="C41" s="73" t="s">
        <v>201</v>
      </c>
      <c r="E41" s="73">
        <v>643</v>
      </c>
      <c r="G41" s="73">
        <v>826</v>
      </c>
      <c r="I41" s="73">
        <v>520</v>
      </c>
      <c r="K41" s="73">
        <v>393</v>
      </c>
      <c r="M41" s="73">
        <v>478</v>
      </c>
    </row>
    <row r="42" spans="1:13">
      <c r="A42" s="73" t="s">
        <v>20</v>
      </c>
      <c r="B42" s="79" t="s">
        <v>522</v>
      </c>
      <c r="C42" s="73" t="s">
        <v>829</v>
      </c>
      <c r="E42" s="73">
        <v>546</v>
      </c>
      <c r="F42" s="73" t="s">
        <v>523</v>
      </c>
      <c r="G42" s="73">
        <v>710</v>
      </c>
      <c r="H42" s="73" t="s">
        <v>523</v>
      </c>
      <c r="I42" s="73">
        <v>50</v>
      </c>
      <c r="K42" s="73">
        <v>987</v>
      </c>
      <c r="M42" s="73">
        <v>93</v>
      </c>
    </row>
    <row r="43" spans="1:13">
      <c r="A43" s="73" t="s">
        <v>20</v>
      </c>
      <c r="B43" s="79" t="s">
        <v>522</v>
      </c>
      <c r="C43" s="73" t="s">
        <v>201</v>
      </c>
      <c r="E43" s="75">
        <v>1877</v>
      </c>
      <c r="F43" s="73" t="s">
        <v>523</v>
      </c>
      <c r="G43" s="75">
        <v>2500</v>
      </c>
      <c r="H43" s="73" t="s">
        <v>523</v>
      </c>
      <c r="I43" s="73">
        <v>300</v>
      </c>
      <c r="K43" s="73">
        <v>217</v>
      </c>
      <c r="M43" s="73">
        <v>30</v>
      </c>
    </row>
    <row r="44" spans="1:13">
      <c r="A44" s="76"/>
      <c r="B44" s="81"/>
      <c r="C44" s="76"/>
      <c r="D44" s="76"/>
      <c r="E44" s="76"/>
      <c r="F44" s="76"/>
      <c r="G44" s="76"/>
      <c r="H44" s="76"/>
      <c r="I44" s="76"/>
      <c r="J44" s="76"/>
      <c r="K44" s="76"/>
      <c r="L44" s="76"/>
      <c r="M44" s="76"/>
    </row>
    <row r="46" spans="1:13">
      <c r="A46" s="73" t="s">
        <v>14</v>
      </c>
      <c r="B46" s="79" t="s">
        <v>15</v>
      </c>
    </row>
    <row r="47" spans="1:13">
      <c r="A47" s="73" t="s">
        <v>221</v>
      </c>
      <c r="B47" s="79" t="s">
        <v>297</v>
      </c>
    </row>
    <row r="48" spans="1:13">
      <c r="A48" s="73" t="s">
        <v>71</v>
      </c>
      <c r="B48" s="111" t="s">
        <v>685</v>
      </c>
      <c r="C48" s="111"/>
      <c r="D48" s="111"/>
      <c r="E48" s="111"/>
      <c r="F48" s="111"/>
      <c r="G48" s="111"/>
      <c r="H48" s="111"/>
      <c r="I48" s="111"/>
      <c r="J48" s="111"/>
      <c r="K48" s="111"/>
    </row>
    <row r="49" spans="1:11">
      <c r="B49" s="111"/>
      <c r="C49" s="111"/>
      <c r="D49" s="111"/>
      <c r="E49" s="111"/>
      <c r="F49" s="111"/>
      <c r="G49" s="111"/>
      <c r="H49" s="111"/>
      <c r="I49" s="111"/>
      <c r="J49" s="111"/>
      <c r="K49" s="111"/>
    </row>
    <row r="51" spans="1:11">
      <c r="A51" s="77" t="str">
        <f>HYPERLINK("[UKMY 2023 PrintableV1.1 12_09_24.xlsx]Contents!A1","Return to contents page")</f>
        <v>Return to contents page</v>
      </c>
    </row>
    <row r="64" spans="1:11">
      <c r="E64" s="78"/>
    </row>
  </sheetData>
  <sortState xmlns:xlrd2="http://schemas.microsoft.com/office/spreadsheetml/2017/richdata2" ref="A3:M43">
    <sortCondition ref="A24:A43"/>
    <sortCondition ref="B24:B43"/>
  </sortState>
  <mergeCells count="2">
    <mergeCell ref="B48:K48"/>
    <mergeCell ref="B49:K49"/>
  </mergeCell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2803-8285-4832-A0AF-5EA6D3C9A49F}">
  <dimension ref="A1:M64"/>
  <sheetViews>
    <sheetView view="pageBreakPreview" zoomScaleNormal="100" zoomScaleSheetLayoutView="100" workbookViewId="0">
      <selection activeCell="B3" sqref="B3"/>
    </sheetView>
  </sheetViews>
  <sheetFormatPr defaultColWidth="9.1796875" defaultRowHeight="14"/>
  <cols>
    <col min="1" max="1" width="12.26953125" style="73" customWidth="1"/>
    <col min="2" max="2" width="45.453125" style="73" customWidth="1"/>
    <col min="3" max="3" width="11.26953125" style="73" bestFit="1" customWidth="1"/>
    <col min="4" max="4" width="2.1796875" style="73" bestFit="1" customWidth="1"/>
    <col min="5" max="5" width="10.1796875" style="73" bestFit="1" customWidth="1"/>
    <col min="6" max="6" width="2.1796875" style="73" bestFit="1" customWidth="1"/>
    <col min="7" max="7" width="10.1796875" style="73" bestFit="1" customWidth="1"/>
    <col min="8" max="8" width="2.1796875" style="73" bestFit="1" customWidth="1"/>
    <col min="9" max="9" width="10.1796875" style="73" bestFit="1" customWidth="1"/>
    <col min="10" max="10" width="2.1796875" style="73" bestFit="1" customWidth="1"/>
    <col min="11" max="11" width="10.1796875" style="73" bestFit="1" customWidth="1"/>
    <col min="12" max="12" width="2.1796875" style="73" bestFit="1" customWidth="1"/>
    <col min="13" max="13" width="10.1796875" style="73" bestFit="1" customWidth="1"/>
    <col min="14" max="16384" width="9.1796875" style="73"/>
  </cols>
  <sheetData>
    <row r="1" spans="1:13" ht="15.5">
      <c r="A1" s="72" t="s">
        <v>524</v>
      </c>
      <c r="B1" s="86"/>
    </row>
    <row r="2" spans="1:13">
      <c r="A2" s="83" t="s">
        <v>670</v>
      </c>
      <c r="B2" s="83" t="s">
        <v>0</v>
      </c>
      <c r="C2" s="83" t="s">
        <v>669</v>
      </c>
      <c r="D2" s="83" t="s">
        <v>1</v>
      </c>
      <c r="E2" s="83">
        <v>2018</v>
      </c>
      <c r="F2" s="83" t="s">
        <v>1</v>
      </c>
      <c r="G2" s="83">
        <v>2019</v>
      </c>
      <c r="H2" s="83" t="s">
        <v>1</v>
      </c>
      <c r="I2" s="83">
        <v>2020</v>
      </c>
      <c r="J2" s="83" t="s">
        <v>1</v>
      </c>
      <c r="K2" s="83">
        <v>2021</v>
      </c>
      <c r="L2" s="83" t="s">
        <v>1</v>
      </c>
      <c r="M2" s="83">
        <v>2022</v>
      </c>
    </row>
    <row r="3" spans="1:13">
      <c r="A3" s="86" t="s">
        <v>19</v>
      </c>
      <c r="B3" s="86" t="s">
        <v>525</v>
      </c>
      <c r="C3" s="86" t="s">
        <v>829</v>
      </c>
      <c r="D3" s="86"/>
      <c r="E3" s="87">
        <v>235522</v>
      </c>
      <c r="F3" s="86"/>
      <c r="G3" s="87">
        <v>456004</v>
      </c>
      <c r="H3" s="86"/>
      <c r="I3" s="87">
        <v>1622744</v>
      </c>
      <c r="J3" s="86"/>
      <c r="K3" s="87">
        <v>2819445</v>
      </c>
      <c r="L3" s="86"/>
      <c r="M3" s="87">
        <v>2051576</v>
      </c>
    </row>
    <row r="4" spans="1:13">
      <c r="A4" s="86" t="s">
        <v>19</v>
      </c>
      <c r="B4" s="86" t="s">
        <v>525</v>
      </c>
      <c r="C4" s="86" t="s">
        <v>273</v>
      </c>
      <c r="D4" s="86"/>
      <c r="E4" s="87">
        <v>13779</v>
      </c>
      <c r="F4" s="86"/>
      <c r="G4" s="87">
        <v>10441</v>
      </c>
      <c r="H4" s="86"/>
      <c r="I4" s="87">
        <v>10313</v>
      </c>
      <c r="J4" s="86"/>
      <c r="K4" s="87">
        <v>9301</v>
      </c>
      <c r="L4" s="86"/>
      <c r="M4" s="87">
        <v>8545</v>
      </c>
    </row>
    <row r="5" spans="1:13">
      <c r="A5" s="86" t="s">
        <v>19</v>
      </c>
      <c r="B5" s="86" t="s">
        <v>526</v>
      </c>
      <c r="C5" s="86" t="s">
        <v>829</v>
      </c>
      <c r="D5" s="86"/>
      <c r="E5" s="87">
        <v>1126245</v>
      </c>
      <c r="F5" s="86"/>
      <c r="G5" s="87">
        <v>2500250</v>
      </c>
      <c r="H5" s="86"/>
      <c r="I5" s="87">
        <v>3819931</v>
      </c>
      <c r="J5" s="86"/>
      <c r="K5" s="87">
        <v>3832580</v>
      </c>
      <c r="L5" s="86"/>
      <c r="M5" s="87">
        <v>2520125</v>
      </c>
    </row>
    <row r="6" spans="1:13">
      <c r="A6" s="86" t="s">
        <v>19</v>
      </c>
      <c r="B6" s="86" t="s">
        <v>526</v>
      </c>
      <c r="C6" s="86" t="s">
        <v>273</v>
      </c>
      <c r="D6" s="86"/>
      <c r="E6" s="87">
        <v>47762</v>
      </c>
      <c r="F6" s="86"/>
      <c r="G6" s="87">
        <v>66970</v>
      </c>
      <c r="H6" s="86"/>
      <c r="I6" s="87">
        <v>85737</v>
      </c>
      <c r="J6" s="86"/>
      <c r="K6" s="87">
        <v>72789</v>
      </c>
      <c r="L6" s="86"/>
      <c r="M6" s="87">
        <v>46674</v>
      </c>
    </row>
    <row r="7" spans="1:13">
      <c r="A7" s="86" t="s">
        <v>19</v>
      </c>
      <c r="B7" s="86" t="s">
        <v>527</v>
      </c>
      <c r="C7" s="86" t="s">
        <v>273</v>
      </c>
      <c r="D7" s="86"/>
      <c r="E7" s="86"/>
      <c r="F7" s="86"/>
      <c r="G7" s="86"/>
      <c r="H7" s="86"/>
      <c r="I7" s="86"/>
      <c r="J7" s="86"/>
      <c r="K7" s="86"/>
      <c r="L7" s="86"/>
      <c r="M7" s="86"/>
    </row>
    <row r="8" spans="1:13">
      <c r="A8" s="86" t="s">
        <v>19</v>
      </c>
      <c r="B8" s="86" t="s">
        <v>528</v>
      </c>
      <c r="C8" s="86" t="s">
        <v>829</v>
      </c>
      <c r="D8" s="86"/>
      <c r="E8" s="87">
        <v>1470589</v>
      </c>
      <c r="F8" s="86"/>
      <c r="G8" s="87">
        <v>2031032</v>
      </c>
      <c r="H8" s="86"/>
      <c r="I8" s="87">
        <v>1858409</v>
      </c>
      <c r="J8" s="86"/>
      <c r="K8" s="87">
        <v>1963177</v>
      </c>
      <c r="L8" s="86"/>
      <c r="M8" s="87">
        <v>1745513</v>
      </c>
    </row>
    <row r="9" spans="1:13">
      <c r="A9" s="86" t="s">
        <v>19</v>
      </c>
      <c r="B9" s="86" t="s">
        <v>528</v>
      </c>
      <c r="C9" s="86" t="s">
        <v>273</v>
      </c>
      <c r="D9" s="86"/>
      <c r="E9" s="87">
        <v>83841</v>
      </c>
      <c r="F9" s="86"/>
      <c r="G9" s="87">
        <v>95701</v>
      </c>
      <c r="H9" s="86"/>
      <c r="I9" s="87">
        <v>99710</v>
      </c>
      <c r="J9" s="86"/>
      <c r="K9" s="87">
        <v>28275</v>
      </c>
      <c r="L9" s="86"/>
      <c r="M9" s="87">
        <v>70087</v>
      </c>
    </row>
    <row r="10" spans="1:13">
      <c r="A10" s="86" t="s">
        <v>19</v>
      </c>
      <c r="B10" s="86" t="s">
        <v>529</v>
      </c>
      <c r="C10" s="86" t="s">
        <v>829</v>
      </c>
      <c r="D10" s="86"/>
      <c r="E10" s="87">
        <v>48637</v>
      </c>
      <c r="F10" s="86"/>
      <c r="G10" s="87">
        <v>42652</v>
      </c>
      <c r="H10" s="86"/>
      <c r="I10" s="87">
        <v>61265</v>
      </c>
      <c r="J10" s="86"/>
      <c r="K10" s="87">
        <v>574787</v>
      </c>
      <c r="L10" s="86"/>
      <c r="M10" s="87">
        <v>583515</v>
      </c>
    </row>
    <row r="11" spans="1:13">
      <c r="A11" s="86" t="s">
        <v>19</v>
      </c>
      <c r="B11" s="86" t="s">
        <v>529</v>
      </c>
      <c r="C11" s="86" t="s">
        <v>273</v>
      </c>
      <c r="D11" s="86"/>
      <c r="E11" s="87">
        <v>1194428</v>
      </c>
      <c r="F11" s="86"/>
      <c r="G11" s="87">
        <v>662775</v>
      </c>
      <c r="H11" s="86"/>
      <c r="I11" s="87">
        <v>628314</v>
      </c>
      <c r="J11" s="86"/>
      <c r="K11" s="87">
        <v>1772785</v>
      </c>
      <c r="L11" s="86"/>
      <c r="M11" s="87">
        <v>3390501</v>
      </c>
    </row>
    <row r="12" spans="1:13">
      <c r="A12" s="86"/>
      <c r="B12" s="86"/>
      <c r="C12" s="86"/>
      <c r="D12" s="86"/>
      <c r="E12" s="86"/>
      <c r="F12" s="86"/>
      <c r="G12" s="86"/>
      <c r="H12" s="86"/>
      <c r="I12" s="86"/>
      <c r="J12" s="86"/>
      <c r="K12" s="86"/>
      <c r="L12" s="86"/>
      <c r="M12" s="86"/>
    </row>
    <row r="13" spans="1:13">
      <c r="A13" s="86" t="s">
        <v>20</v>
      </c>
      <c r="B13" s="86" t="s">
        <v>525</v>
      </c>
      <c r="C13" s="86" t="s">
        <v>829</v>
      </c>
      <c r="D13" s="86"/>
      <c r="E13" s="87">
        <v>522053</v>
      </c>
      <c r="F13" s="86"/>
      <c r="G13" s="87">
        <v>900193</v>
      </c>
      <c r="H13" s="86"/>
      <c r="I13" s="87">
        <v>2651225</v>
      </c>
      <c r="J13" s="86"/>
      <c r="K13" s="87">
        <v>3554147</v>
      </c>
      <c r="L13" s="86"/>
      <c r="M13" s="87">
        <v>1934993</v>
      </c>
    </row>
    <row r="14" spans="1:13">
      <c r="A14" s="86" t="s">
        <v>20</v>
      </c>
      <c r="B14" s="86" t="s">
        <v>525</v>
      </c>
      <c r="C14" s="86" t="s">
        <v>273</v>
      </c>
      <c r="D14" s="86"/>
      <c r="E14" s="87">
        <v>51227</v>
      </c>
      <c r="F14" s="86"/>
      <c r="G14" s="87">
        <v>19618</v>
      </c>
      <c r="H14" s="86"/>
      <c r="I14" s="87">
        <v>17585</v>
      </c>
      <c r="J14" s="86"/>
      <c r="K14" s="87">
        <v>15023</v>
      </c>
      <c r="L14" s="86"/>
      <c r="M14" s="87">
        <v>24105</v>
      </c>
    </row>
    <row r="15" spans="1:13">
      <c r="A15" s="86" t="s">
        <v>20</v>
      </c>
      <c r="B15" s="86" t="s">
        <v>526</v>
      </c>
      <c r="C15" s="86" t="s">
        <v>829</v>
      </c>
      <c r="D15" s="86"/>
      <c r="E15" s="87">
        <v>2049827</v>
      </c>
      <c r="F15" s="86"/>
      <c r="G15" s="87">
        <v>3113649</v>
      </c>
      <c r="H15" s="86"/>
      <c r="I15" s="87">
        <v>4218756</v>
      </c>
      <c r="J15" s="86"/>
      <c r="K15" s="87">
        <v>3678068</v>
      </c>
      <c r="L15" s="86"/>
      <c r="M15" s="87">
        <v>3500535</v>
      </c>
    </row>
    <row r="16" spans="1:13">
      <c r="A16" s="86" t="s">
        <v>20</v>
      </c>
      <c r="B16" s="86" t="s">
        <v>526</v>
      </c>
      <c r="C16" s="86" t="s">
        <v>273</v>
      </c>
      <c r="D16" s="86"/>
      <c r="E16" s="87">
        <v>83157</v>
      </c>
      <c r="F16" s="86"/>
      <c r="G16" s="87">
        <v>83224</v>
      </c>
      <c r="H16" s="86"/>
      <c r="I16" s="87">
        <v>76723</v>
      </c>
      <c r="J16" s="86"/>
      <c r="K16" s="87">
        <v>65118</v>
      </c>
      <c r="L16" s="86"/>
      <c r="M16" s="87">
        <v>63430</v>
      </c>
    </row>
    <row r="17" spans="1:13">
      <c r="A17" s="86" t="s">
        <v>20</v>
      </c>
      <c r="B17" s="86" t="s">
        <v>527</v>
      </c>
      <c r="C17" s="86" t="s">
        <v>273</v>
      </c>
      <c r="D17" s="86"/>
      <c r="E17" s="86"/>
      <c r="F17" s="86"/>
      <c r="G17" s="86"/>
      <c r="H17" s="86"/>
      <c r="I17" s="86"/>
      <c r="J17" s="86"/>
      <c r="K17" s="86"/>
      <c r="L17" s="86"/>
      <c r="M17" s="86"/>
    </row>
    <row r="18" spans="1:13">
      <c r="A18" s="86" t="s">
        <v>20</v>
      </c>
      <c r="B18" s="86" t="s">
        <v>528</v>
      </c>
      <c r="C18" s="86" t="s">
        <v>829</v>
      </c>
      <c r="D18" s="86"/>
      <c r="E18" s="87">
        <v>1972488</v>
      </c>
      <c r="F18" s="86"/>
      <c r="G18" s="87">
        <v>1347677</v>
      </c>
      <c r="H18" s="86"/>
      <c r="I18" s="87">
        <v>2156932</v>
      </c>
      <c r="J18" s="86"/>
      <c r="K18" s="87">
        <v>2662527</v>
      </c>
      <c r="L18" s="86"/>
      <c r="M18" s="87">
        <v>2216944</v>
      </c>
    </row>
    <row r="19" spans="1:13">
      <c r="A19" s="86" t="s">
        <v>20</v>
      </c>
      <c r="B19" s="86" t="s">
        <v>528</v>
      </c>
      <c r="C19" s="86" t="s">
        <v>273</v>
      </c>
      <c r="D19" s="86"/>
      <c r="E19" s="87">
        <v>95072</v>
      </c>
      <c r="F19" s="86"/>
      <c r="G19" s="87">
        <v>62419</v>
      </c>
      <c r="H19" s="86"/>
      <c r="I19" s="87">
        <v>96733</v>
      </c>
      <c r="J19" s="86"/>
      <c r="K19" s="87">
        <v>99878</v>
      </c>
      <c r="L19" s="86"/>
      <c r="M19" s="87">
        <v>87464</v>
      </c>
    </row>
    <row r="20" spans="1:13">
      <c r="A20" s="86" t="s">
        <v>20</v>
      </c>
      <c r="B20" s="86" t="s">
        <v>529</v>
      </c>
      <c r="C20" s="86" t="s">
        <v>829</v>
      </c>
      <c r="D20" s="86"/>
      <c r="E20" s="87">
        <v>71402</v>
      </c>
      <c r="F20" s="86"/>
      <c r="G20" s="87">
        <v>100318</v>
      </c>
      <c r="H20" s="86"/>
      <c r="I20" s="87">
        <v>166326</v>
      </c>
      <c r="J20" s="86"/>
      <c r="K20" s="87">
        <v>898363</v>
      </c>
      <c r="L20" s="86"/>
      <c r="M20" s="87">
        <v>969912</v>
      </c>
    </row>
    <row r="21" spans="1:13">
      <c r="A21" s="86" t="s">
        <v>20</v>
      </c>
      <c r="B21" s="86" t="s">
        <v>529</v>
      </c>
      <c r="C21" s="86" t="s">
        <v>273</v>
      </c>
      <c r="D21" s="86"/>
      <c r="E21" s="87">
        <v>3149053</v>
      </c>
      <c r="F21" s="86"/>
      <c r="G21" s="87">
        <v>2956713</v>
      </c>
      <c r="H21" s="86"/>
      <c r="I21" s="87">
        <v>2674422</v>
      </c>
      <c r="J21" s="86"/>
      <c r="K21" s="87">
        <v>5304837</v>
      </c>
      <c r="L21" s="86"/>
      <c r="M21" s="87">
        <v>5771518</v>
      </c>
    </row>
    <row r="22" spans="1:13">
      <c r="A22" s="88"/>
      <c r="B22" s="88"/>
      <c r="C22" s="88"/>
      <c r="D22" s="88"/>
      <c r="E22" s="88"/>
      <c r="F22" s="88"/>
      <c r="G22" s="88"/>
      <c r="H22" s="88"/>
      <c r="I22" s="88"/>
      <c r="J22" s="88"/>
      <c r="K22" s="88"/>
      <c r="L22" s="88"/>
      <c r="M22" s="88"/>
    </row>
    <row r="23" spans="1:13">
      <c r="A23" s="86"/>
      <c r="B23" s="86"/>
      <c r="C23" s="86"/>
      <c r="D23" s="86"/>
      <c r="E23" s="86"/>
      <c r="F23" s="86"/>
      <c r="G23" s="86"/>
      <c r="H23" s="86"/>
      <c r="I23" s="86"/>
      <c r="J23" s="86"/>
      <c r="K23" s="86"/>
      <c r="L23" s="86"/>
      <c r="M23" s="86"/>
    </row>
    <row r="24" spans="1:13" ht="28.5" customHeight="1">
      <c r="A24" s="114" t="s">
        <v>800</v>
      </c>
      <c r="B24" s="114"/>
      <c r="C24" s="114"/>
      <c r="D24" s="114"/>
      <c r="E24" s="114"/>
      <c r="F24" s="114"/>
      <c r="G24" s="114"/>
      <c r="H24" s="114"/>
      <c r="I24" s="114"/>
      <c r="J24" s="114"/>
      <c r="K24" s="114"/>
      <c r="L24" s="114"/>
      <c r="M24" s="86"/>
    </row>
    <row r="25" spans="1:13">
      <c r="A25" s="86"/>
      <c r="B25" s="86"/>
      <c r="C25" s="86"/>
      <c r="D25" s="86"/>
      <c r="E25" s="86"/>
      <c r="F25" s="86"/>
      <c r="G25" s="86"/>
      <c r="H25" s="86"/>
      <c r="I25" s="86"/>
      <c r="J25" s="86"/>
      <c r="K25" s="86"/>
      <c r="L25" s="86"/>
      <c r="M25" s="86"/>
    </row>
    <row r="26" spans="1:13">
      <c r="A26" s="86"/>
      <c r="B26" s="86"/>
      <c r="C26" s="86"/>
      <c r="D26" s="86"/>
      <c r="E26" s="86"/>
      <c r="F26" s="86"/>
      <c r="G26" s="86"/>
      <c r="H26" s="86"/>
      <c r="I26" s="86"/>
      <c r="J26" s="86"/>
      <c r="K26" s="86"/>
      <c r="L26" s="86"/>
      <c r="M26" s="86"/>
    </row>
    <row r="27" spans="1:13">
      <c r="A27" s="90" t="str">
        <f>HYPERLINK("[UKMY 2023 PrintableV1.1 12_09_24.xlsx]Contents!A1","Return to contents page")</f>
        <v>Return to contents page</v>
      </c>
      <c r="B27" s="86"/>
      <c r="C27" s="86"/>
      <c r="D27" s="86"/>
      <c r="E27" s="86"/>
      <c r="F27" s="86"/>
      <c r="G27" s="86"/>
      <c r="H27" s="86"/>
      <c r="I27" s="86"/>
      <c r="J27" s="86"/>
      <c r="K27" s="86"/>
      <c r="L27" s="86"/>
      <c r="M27" s="86"/>
    </row>
    <row r="64" spans="5:5">
      <c r="E64" s="78"/>
    </row>
  </sheetData>
  <sortState xmlns:xlrd2="http://schemas.microsoft.com/office/spreadsheetml/2017/richdata2" ref="A3:M21">
    <sortCondition ref="A13:A21"/>
    <sortCondition ref="B13:B21"/>
  </sortState>
  <mergeCells count="1">
    <mergeCell ref="A24:L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3CDF6-2564-48D5-A9C5-92ABD21D365B}">
  <dimension ref="A1:K65"/>
  <sheetViews>
    <sheetView view="pageBreakPreview" topLeftCell="A46" zoomScaleNormal="100" zoomScaleSheetLayoutView="100" workbookViewId="0">
      <selection activeCell="A65" sqref="A65"/>
    </sheetView>
  </sheetViews>
  <sheetFormatPr defaultColWidth="9.1796875" defaultRowHeight="14"/>
  <cols>
    <col min="1" max="1" width="36.7265625" style="13" customWidth="1"/>
    <col min="2" max="2" width="9.453125" style="13" customWidth="1"/>
    <col min="3" max="3" width="9.81640625" style="13" bestFit="1" customWidth="1"/>
    <col min="4" max="4" width="8.81640625" style="13" bestFit="1" customWidth="1"/>
    <col min="5" max="5" width="9.81640625" style="13" bestFit="1" customWidth="1"/>
    <col min="6" max="6" width="7.453125" style="13" bestFit="1" customWidth="1"/>
    <col min="7" max="7" width="9.81640625" style="13" bestFit="1" customWidth="1"/>
    <col min="8" max="8" width="7.453125" style="13" bestFit="1" customWidth="1"/>
    <col min="9" max="9" width="9.81640625" style="13" bestFit="1" customWidth="1"/>
    <col min="10" max="10" width="7.453125" style="13" bestFit="1" customWidth="1"/>
    <col min="11" max="11" width="9.81640625" style="13" bestFit="1" customWidth="1"/>
    <col min="12" max="12" width="8.81640625" style="13" bestFit="1" customWidth="1"/>
    <col min="13" max="13" width="11.453125" style="13" bestFit="1" customWidth="1"/>
    <col min="14" max="16384" width="9.1796875" style="13"/>
  </cols>
  <sheetData>
    <row r="1" spans="1:11" ht="15.5">
      <c r="A1" s="29" t="s">
        <v>818</v>
      </c>
      <c r="K1" s="41" t="s">
        <v>834</v>
      </c>
    </row>
    <row r="2" spans="1:11">
      <c r="A2" s="42" t="s">
        <v>673</v>
      </c>
      <c r="B2" s="42" t="s">
        <v>1</v>
      </c>
      <c r="C2" s="42">
        <v>2018</v>
      </c>
      <c r="D2" s="42" t="s">
        <v>1</v>
      </c>
      <c r="E2" s="42">
        <v>2019</v>
      </c>
      <c r="F2" s="42" t="s">
        <v>1</v>
      </c>
      <c r="G2" s="42">
        <v>2020</v>
      </c>
      <c r="H2" s="42" t="s">
        <v>1</v>
      </c>
      <c r="I2" s="42">
        <v>2021</v>
      </c>
      <c r="J2" s="42" t="s">
        <v>1</v>
      </c>
      <c r="K2" s="42">
        <v>2022</v>
      </c>
    </row>
    <row r="3" spans="1:11">
      <c r="A3" s="13" t="s">
        <v>84</v>
      </c>
      <c r="C3" s="43">
        <v>24</v>
      </c>
      <c r="D3" s="43"/>
      <c r="E3" s="43">
        <v>99</v>
      </c>
      <c r="F3" s="43"/>
      <c r="G3" s="43">
        <v>107</v>
      </c>
      <c r="H3" s="43"/>
      <c r="I3" s="43">
        <v>94</v>
      </c>
      <c r="J3" s="43"/>
      <c r="K3" s="43">
        <v>63</v>
      </c>
    </row>
    <row r="4" spans="1:11">
      <c r="A4" s="13" t="s">
        <v>85</v>
      </c>
      <c r="C4" s="43">
        <v>2758</v>
      </c>
      <c r="D4" s="43"/>
      <c r="E4" s="43">
        <v>2492</v>
      </c>
      <c r="F4" s="43"/>
      <c r="G4" s="43">
        <v>1567</v>
      </c>
      <c r="H4" s="43"/>
      <c r="I4" s="43">
        <v>960</v>
      </c>
      <c r="J4" s="43"/>
      <c r="K4" s="43">
        <v>651</v>
      </c>
    </row>
    <row r="5" spans="1:11">
      <c r="A5" s="13" t="s">
        <v>86</v>
      </c>
      <c r="B5" s="13" t="s">
        <v>41</v>
      </c>
      <c r="C5" s="43"/>
      <c r="D5" s="43" t="s">
        <v>41</v>
      </c>
      <c r="E5" s="43"/>
      <c r="F5" s="43" t="s">
        <v>41</v>
      </c>
      <c r="G5" s="43"/>
      <c r="H5" s="43" t="s">
        <v>41</v>
      </c>
      <c r="I5" s="43"/>
      <c r="J5" s="43" t="s">
        <v>41</v>
      </c>
      <c r="K5" s="43"/>
    </row>
    <row r="6" spans="1:11">
      <c r="A6" s="13" t="s">
        <v>87</v>
      </c>
      <c r="C6" s="43"/>
      <c r="D6" s="43"/>
      <c r="E6" s="43"/>
      <c r="F6" s="43"/>
      <c r="G6" s="43"/>
      <c r="H6" s="43"/>
      <c r="I6" s="43"/>
      <c r="J6" s="43"/>
      <c r="K6" s="43"/>
    </row>
    <row r="7" spans="1:11">
      <c r="A7" s="13" t="s">
        <v>88</v>
      </c>
      <c r="C7" s="43"/>
      <c r="D7" s="43"/>
      <c r="E7" s="43"/>
      <c r="F7" s="43"/>
      <c r="G7" s="43"/>
      <c r="H7" s="43"/>
      <c r="I7" s="43"/>
      <c r="J7" s="43"/>
      <c r="K7" s="43"/>
    </row>
    <row r="8" spans="1:11">
      <c r="A8" s="13" t="s">
        <v>819</v>
      </c>
      <c r="C8" s="43">
        <v>33</v>
      </c>
      <c r="D8" s="43"/>
      <c r="E8" s="43">
        <v>31</v>
      </c>
      <c r="F8" s="43"/>
      <c r="G8" s="43">
        <v>25</v>
      </c>
      <c r="H8" s="43"/>
      <c r="I8" s="43">
        <v>26</v>
      </c>
      <c r="J8" s="43"/>
      <c r="K8" s="43">
        <v>27</v>
      </c>
    </row>
    <row r="9" spans="1:11">
      <c r="A9" s="13" t="s">
        <v>820</v>
      </c>
      <c r="C9" s="43">
        <v>219</v>
      </c>
      <c r="D9" s="43"/>
      <c r="E9" s="43">
        <v>325</v>
      </c>
      <c r="F9" s="43"/>
      <c r="G9" s="43">
        <v>220</v>
      </c>
      <c r="H9" s="43"/>
      <c r="I9" s="43">
        <v>111</v>
      </c>
      <c r="J9" s="43"/>
      <c r="K9" s="43">
        <v>152</v>
      </c>
    </row>
    <row r="10" spans="1:11">
      <c r="A10" s="13" t="s">
        <v>821</v>
      </c>
      <c r="C10" s="43">
        <v>38792.400000000001</v>
      </c>
      <c r="D10" s="43"/>
      <c r="E10" s="43">
        <v>37384.800000000003</v>
      </c>
      <c r="F10" s="43"/>
      <c r="G10" s="43">
        <v>37469</v>
      </c>
      <c r="H10" s="43"/>
      <c r="I10" s="43">
        <v>31186</v>
      </c>
      <c r="J10" s="43"/>
      <c r="K10" s="43">
        <v>36238</v>
      </c>
    </row>
    <row r="11" spans="1:11">
      <c r="A11" s="13" t="s">
        <v>89</v>
      </c>
      <c r="C11" s="43"/>
      <c r="D11" s="43"/>
      <c r="E11" s="43"/>
      <c r="F11" s="43"/>
      <c r="G11" s="43"/>
      <c r="H11" s="43"/>
      <c r="I11" s="43"/>
      <c r="J11" s="43"/>
      <c r="K11" s="43"/>
    </row>
    <row r="12" spans="1:11">
      <c r="A12" s="13" t="s">
        <v>90</v>
      </c>
      <c r="C12" s="43">
        <v>1530</v>
      </c>
      <c r="D12" s="43"/>
      <c r="E12" s="43">
        <v>1472</v>
      </c>
      <c r="F12" s="43"/>
      <c r="G12" s="43">
        <v>1417</v>
      </c>
      <c r="H12" s="43"/>
      <c r="I12" s="43">
        <v>1273</v>
      </c>
      <c r="J12" s="43"/>
      <c r="K12" s="43">
        <v>1259</v>
      </c>
    </row>
    <row r="13" spans="1:11">
      <c r="A13" s="13" t="s">
        <v>91</v>
      </c>
      <c r="C13" s="43">
        <v>46318</v>
      </c>
      <c r="D13" s="43"/>
      <c r="E13" s="43">
        <v>47872</v>
      </c>
      <c r="F13" s="43"/>
      <c r="G13" s="43">
        <v>44241</v>
      </c>
      <c r="H13" s="43"/>
      <c r="I13" s="43">
        <v>36966</v>
      </c>
      <c r="J13" s="43"/>
      <c r="K13" s="43">
        <v>33676</v>
      </c>
    </row>
    <row r="14" spans="1:11">
      <c r="A14" s="13" t="s">
        <v>92</v>
      </c>
      <c r="C14" s="43"/>
      <c r="D14" s="43"/>
      <c r="E14" s="43"/>
      <c r="F14" s="43"/>
      <c r="G14" s="43"/>
      <c r="H14" s="43"/>
      <c r="I14" s="43"/>
      <c r="J14" s="43"/>
      <c r="K14" s="43"/>
    </row>
    <row r="15" spans="1:11">
      <c r="A15" s="13" t="s">
        <v>93</v>
      </c>
      <c r="B15" s="13" t="s">
        <v>53</v>
      </c>
      <c r="C15" s="43">
        <v>67</v>
      </c>
      <c r="D15" s="43" t="s">
        <v>53</v>
      </c>
      <c r="E15" s="43">
        <v>63</v>
      </c>
      <c r="F15" s="43" t="s">
        <v>53</v>
      </c>
      <c r="G15" s="43">
        <v>55</v>
      </c>
      <c r="H15" s="43" t="s">
        <v>53</v>
      </c>
      <c r="I15" s="43">
        <v>51</v>
      </c>
      <c r="J15" s="43" t="s">
        <v>53</v>
      </c>
      <c r="K15" s="43">
        <v>109</v>
      </c>
    </row>
    <row r="16" spans="1:11">
      <c r="A16" s="13" t="s">
        <v>94</v>
      </c>
      <c r="B16" s="13" t="s">
        <v>53</v>
      </c>
      <c r="C16" s="43">
        <v>3272</v>
      </c>
      <c r="D16" s="43" t="s">
        <v>53</v>
      </c>
      <c r="E16" s="43">
        <v>3081</v>
      </c>
      <c r="F16" s="43" t="s">
        <v>53</v>
      </c>
      <c r="G16" s="43">
        <v>3272</v>
      </c>
      <c r="H16" s="43" t="s">
        <v>53</v>
      </c>
      <c r="I16" s="43">
        <v>2574</v>
      </c>
      <c r="J16" s="43" t="s">
        <v>53</v>
      </c>
      <c r="K16" s="43">
        <v>2708</v>
      </c>
    </row>
    <row r="17" spans="1:11" ht="6.75" customHeight="1">
      <c r="C17" s="43"/>
      <c r="D17" s="43"/>
      <c r="E17" s="43"/>
      <c r="F17" s="43"/>
      <c r="G17" s="43"/>
      <c r="H17" s="43"/>
      <c r="I17" s="43"/>
      <c r="J17" s="43"/>
      <c r="K17" s="43"/>
    </row>
    <row r="18" spans="1:11">
      <c r="A18" s="13" t="s">
        <v>43</v>
      </c>
      <c r="C18" s="43">
        <v>0.2</v>
      </c>
      <c r="D18" s="43"/>
      <c r="E18" s="43">
        <v>0</v>
      </c>
      <c r="F18" s="43"/>
      <c r="G18" s="43">
        <v>0</v>
      </c>
      <c r="H18" s="43"/>
      <c r="I18" s="43">
        <v>0</v>
      </c>
      <c r="J18" s="43"/>
      <c r="K18" s="43">
        <v>0</v>
      </c>
    </row>
    <row r="19" spans="1:11">
      <c r="A19" s="13" t="s">
        <v>44</v>
      </c>
      <c r="C19" s="43">
        <v>1.2</v>
      </c>
      <c r="D19" s="43"/>
      <c r="E19" s="43">
        <v>0</v>
      </c>
      <c r="F19" s="43"/>
      <c r="G19" s="43">
        <v>0</v>
      </c>
      <c r="H19" s="43"/>
      <c r="I19" s="43">
        <v>0</v>
      </c>
      <c r="J19" s="43"/>
      <c r="K19" s="43">
        <v>0</v>
      </c>
    </row>
    <row r="20" spans="1:11">
      <c r="A20" s="13" t="s">
        <v>95</v>
      </c>
      <c r="B20" s="13" t="s">
        <v>96</v>
      </c>
      <c r="C20" s="44">
        <v>0.1</v>
      </c>
      <c r="D20" s="43" t="s">
        <v>96</v>
      </c>
      <c r="E20" s="44">
        <v>0.2</v>
      </c>
      <c r="F20" s="43" t="s">
        <v>96</v>
      </c>
      <c r="G20" s="44">
        <v>0.1</v>
      </c>
      <c r="H20" s="43" t="s">
        <v>96</v>
      </c>
      <c r="I20" s="44">
        <v>0.1</v>
      </c>
      <c r="J20" s="43" t="s">
        <v>96</v>
      </c>
      <c r="K20" s="44">
        <v>0.1</v>
      </c>
    </row>
    <row r="21" spans="1:11">
      <c r="A21" s="13" t="s">
        <v>675</v>
      </c>
      <c r="C21" s="43">
        <v>0</v>
      </c>
      <c r="D21" s="43"/>
      <c r="E21" s="43">
        <v>130</v>
      </c>
      <c r="F21" s="43"/>
      <c r="G21" s="43">
        <v>100</v>
      </c>
      <c r="H21" s="43"/>
      <c r="I21" s="43">
        <v>410</v>
      </c>
      <c r="J21" s="43"/>
      <c r="K21" s="43">
        <v>1340</v>
      </c>
    </row>
    <row r="22" spans="1:11">
      <c r="A22" s="13" t="s">
        <v>676</v>
      </c>
      <c r="C22" s="43">
        <v>0</v>
      </c>
      <c r="D22" s="43"/>
      <c r="E22" s="43">
        <v>50</v>
      </c>
      <c r="F22" s="43"/>
      <c r="G22" s="43">
        <v>28</v>
      </c>
      <c r="H22" s="43"/>
      <c r="I22" s="43">
        <v>79</v>
      </c>
      <c r="J22" s="43"/>
      <c r="K22" s="43">
        <v>270</v>
      </c>
    </row>
    <row r="23" spans="1:11" ht="6.75" customHeight="1">
      <c r="C23" s="43"/>
      <c r="D23" s="43"/>
      <c r="E23" s="43"/>
      <c r="F23" s="43"/>
      <c r="G23" s="43"/>
      <c r="H23" s="43"/>
      <c r="I23" s="43"/>
      <c r="J23" s="43"/>
      <c r="K23" s="43"/>
    </row>
    <row r="24" spans="1:11">
      <c r="A24" s="13" t="s">
        <v>54</v>
      </c>
      <c r="B24" s="13" t="s">
        <v>98</v>
      </c>
      <c r="C24" s="43">
        <v>4606</v>
      </c>
      <c r="D24" s="43" t="s">
        <v>98</v>
      </c>
      <c r="E24" s="43">
        <v>4529</v>
      </c>
      <c r="F24" s="43" t="s">
        <v>98</v>
      </c>
      <c r="G24" s="43">
        <v>2952</v>
      </c>
      <c r="H24" s="43" t="s">
        <v>98</v>
      </c>
      <c r="I24" s="43">
        <v>4008</v>
      </c>
      <c r="J24" s="43" t="s">
        <v>98</v>
      </c>
      <c r="K24" s="43">
        <v>4004</v>
      </c>
    </row>
    <row r="25" spans="1:11">
      <c r="A25" s="13" t="s">
        <v>51</v>
      </c>
      <c r="C25" s="43"/>
      <c r="D25" s="43"/>
      <c r="E25" s="43"/>
      <c r="F25" s="43"/>
      <c r="G25" s="43"/>
      <c r="H25" s="43"/>
      <c r="I25" s="43"/>
      <c r="J25" s="43"/>
      <c r="K25" s="43"/>
    </row>
    <row r="26" spans="1:11">
      <c r="A26" s="13" t="s">
        <v>710</v>
      </c>
      <c r="C26" s="43"/>
      <c r="D26" s="43"/>
      <c r="E26" s="43"/>
      <c r="F26" s="43"/>
      <c r="G26" s="43"/>
      <c r="H26" s="43"/>
      <c r="I26" s="43"/>
      <c r="J26" s="43"/>
      <c r="K26" s="43"/>
    </row>
    <row r="27" spans="1:11">
      <c r="A27" s="13" t="s">
        <v>99</v>
      </c>
      <c r="C27" s="43"/>
      <c r="D27" s="43"/>
      <c r="E27" s="43"/>
      <c r="F27" s="43"/>
      <c r="G27" s="43"/>
      <c r="H27" s="43"/>
      <c r="I27" s="43"/>
      <c r="J27" s="43"/>
      <c r="K27" s="43"/>
    </row>
    <row r="28" spans="1:11">
      <c r="A28" s="13" t="s">
        <v>100</v>
      </c>
      <c r="C28" s="43"/>
      <c r="D28" s="43"/>
      <c r="E28" s="43"/>
      <c r="F28" s="43"/>
      <c r="G28" s="43"/>
      <c r="H28" s="43"/>
      <c r="I28" s="43"/>
      <c r="J28" s="43"/>
      <c r="K28" s="43"/>
    </row>
    <row r="29" spans="1:11">
      <c r="A29" s="13" t="s">
        <v>50</v>
      </c>
      <c r="C29" s="43"/>
      <c r="D29" s="43"/>
      <c r="E29" s="43"/>
      <c r="F29" s="43"/>
      <c r="G29" s="43"/>
      <c r="H29" s="43"/>
      <c r="I29" s="43"/>
      <c r="J29" s="43"/>
      <c r="K29" s="43"/>
    </row>
    <row r="30" spans="1:11">
      <c r="A30" s="13" t="s">
        <v>52</v>
      </c>
      <c r="B30" s="13" t="s">
        <v>101</v>
      </c>
      <c r="C30" s="43">
        <v>129998</v>
      </c>
      <c r="D30" s="43" t="s">
        <v>101</v>
      </c>
      <c r="E30" s="43">
        <v>129600</v>
      </c>
      <c r="F30" s="43" t="s">
        <v>102</v>
      </c>
      <c r="G30" s="43">
        <v>118146</v>
      </c>
      <c r="H30" s="43" t="s">
        <v>102</v>
      </c>
      <c r="I30" s="43">
        <v>137124</v>
      </c>
      <c r="J30" s="43" t="s">
        <v>102</v>
      </c>
      <c r="K30" s="43">
        <v>126474</v>
      </c>
    </row>
    <row r="31" spans="1:11">
      <c r="A31" s="13" t="s">
        <v>103</v>
      </c>
      <c r="B31" s="13" t="s">
        <v>104</v>
      </c>
      <c r="C31" s="43">
        <v>820</v>
      </c>
      <c r="D31" s="43" t="s">
        <v>104</v>
      </c>
      <c r="E31" s="43">
        <v>160</v>
      </c>
      <c r="F31" s="43" t="s">
        <v>104</v>
      </c>
      <c r="G31" s="43">
        <v>160</v>
      </c>
      <c r="H31" s="43" t="s">
        <v>104</v>
      </c>
      <c r="I31" s="43">
        <v>170</v>
      </c>
      <c r="J31" s="43" t="s">
        <v>104</v>
      </c>
      <c r="K31" s="43">
        <v>170</v>
      </c>
    </row>
    <row r="32" spans="1:11">
      <c r="A32" s="13" t="s">
        <v>105</v>
      </c>
      <c r="C32" s="43">
        <v>52065</v>
      </c>
      <c r="D32" s="43" t="s">
        <v>106</v>
      </c>
      <c r="E32" s="43">
        <v>47571</v>
      </c>
      <c r="F32" s="43"/>
      <c r="G32" s="43">
        <v>41143</v>
      </c>
      <c r="H32" s="43"/>
      <c r="I32" s="43">
        <v>45701</v>
      </c>
      <c r="J32" s="43" t="s">
        <v>106</v>
      </c>
      <c r="K32" s="43">
        <v>40337</v>
      </c>
    </row>
    <row r="33" spans="1:11">
      <c r="A33" s="13" t="s">
        <v>107</v>
      </c>
      <c r="B33" s="13" t="s">
        <v>108</v>
      </c>
      <c r="C33" s="43">
        <v>17817</v>
      </c>
      <c r="D33" s="43" t="s">
        <v>108</v>
      </c>
      <c r="E33" s="43">
        <v>18088</v>
      </c>
      <c r="F33" s="43" t="s">
        <v>108</v>
      </c>
      <c r="G33" s="43">
        <v>16427</v>
      </c>
      <c r="H33" s="43" t="s">
        <v>108</v>
      </c>
      <c r="I33" s="43">
        <v>18569</v>
      </c>
      <c r="J33" s="43" t="s">
        <v>108</v>
      </c>
      <c r="K33" s="43">
        <v>18687</v>
      </c>
    </row>
    <row r="34" spans="1:11">
      <c r="C34" s="43"/>
      <c r="D34" s="43"/>
      <c r="E34" s="43"/>
      <c r="F34" s="43"/>
      <c r="G34" s="43"/>
      <c r="H34" s="43"/>
      <c r="I34" s="43"/>
      <c r="J34" s="43"/>
      <c r="K34" s="43"/>
    </row>
    <row r="35" spans="1:11">
      <c r="A35" s="13" t="s">
        <v>56</v>
      </c>
      <c r="B35" s="13" t="s">
        <v>96</v>
      </c>
      <c r="C35" s="43">
        <v>867</v>
      </c>
      <c r="D35" s="43" t="s">
        <v>96</v>
      </c>
      <c r="E35" s="43">
        <v>738</v>
      </c>
      <c r="F35" s="43" t="s">
        <v>96</v>
      </c>
      <c r="G35" s="43">
        <v>696</v>
      </c>
      <c r="H35" s="43" t="s">
        <v>96</v>
      </c>
      <c r="I35" s="43">
        <v>945</v>
      </c>
      <c r="J35" s="43" t="s">
        <v>96</v>
      </c>
      <c r="K35" s="43">
        <v>1040</v>
      </c>
    </row>
    <row r="36" spans="1:11">
      <c r="A36" s="13" t="s">
        <v>109</v>
      </c>
      <c r="B36" s="13" t="s">
        <v>96</v>
      </c>
      <c r="C36" s="43">
        <v>50</v>
      </c>
      <c r="D36" s="43" t="s">
        <v>96</v>
      </c>
      <c r="E36" s="43">
        <v>46</v>
      </c>
      <c r="F36" s="43" t="s">
        <v>96</v>
      </c>
      <c r="G36" s="43">
        <v>46</v>
      </c>
      <c r="H36" s="43" t="s">
        <v>96</v>
      </c>
      <c r="I36" s="43">
        <v>27</v>
      </c>
      <c r="J36" s="43" t="s">
        <v>96</v>
      </c>
      <c r="K36" s="43">
        <v>30</v>
      </c>
    </row>
    <row r="37" spans="1:11">
      <c r="A37" s="13" t="s">
        <v>55</v>
      </c>
      <c r="B37" s="13" t="s">
        <v>110</v>
      </c>
      <c r="C37" s="43">
        <v>996</v>
      </c>
      <c r="D37" s="43" t="s">
        <v>110</v>
      </c>
      <c r="E37" s="43">
        <v>715</v>
      </c>
      <c r="F37" s="43" t="s">
        <v>110</v>
      </c>
      <c r="G37" s="43">
        <v>635</v>
      </c>
      <c r="H37" s="43" t="s">
        <v>110</v>
      </c>
      <c r="I37" s="43">
        <v>735</v>
      </c>
      <c r="J37" s="43" t="s">
        <v>110</v>
      </c>
      <c r="K37" s="43">
        <v>708.5</v>
      </c>
    </row>
    <row r="38" spans="1:11">
      <c r="A38" s="13" t="s">
        <v>111</v>
      </c>
      <c r="C38" s="43"/>
      <c r="D38" s="43"/>
      <c r="E38" s="43"/>
      <c r="F38" s="43"/>
      <c r="G38" s="43"/>
      <c r="H38" s="43"/>
      <c r="I38" s="43"/>
      <c r="J38" s="43"/>
      <c r="K38" s="43"/>
    </row>
    <row r="39" spans="1:11">
      <c r="A39" s="13" t="s">
        <v>61</v>
      </c>
      <c r="B39" s="13" t="s">
        <v>96</v>
      </c>
      <c r="C39" s="43">
        <v>11</v>
      </c>
      <c r="D39" s="43" t="s">
        <v>96</v>
      </c>
      <c r="E39" s="43">
        <v>14</v>
      </c>
      <c r="F39" s="43" t="s">
        <v>96</v>
      </c>
      <c r="G39" s="43">
        <v>15</v>
      </c>
      <c r="H39" s="43" t="s">
        <v>96</v>
      </c>
      <c r="I39" s="43">
        <v>15</v>
      </c>
      <c r="J39" s="43" t="s">
        <v>96</v>
      </c>
      <c r="K39" s="43">
        <v>12.7</v>
      </c>
    </row>
    <row r="40" spans="1:11">
      <c r="A40" s="13" t="s">
        <v>112</v>
      </c>
      <c r="B40" s="13" t="s">
        <v>96</v>
      </c>
      <c r="C40" s="43">
        <v>1400</v>
      </c>
      <c r="D40" s="43" t="s">
        <v>96</v>
      </c>
      <c r="E40" s="43">
        <v>1600</v>
      </c>
      <c r="F40" s="43" t="s">
        <v>96</v>
      </c>
      <c r="G40" s="43">
        <v>1300</v>
      </c>
      <c r="H40" s="43" t="s">
        <v>96</v>
      </c>
      <c r="I40" s="43">
        <v>2400</v>
      </c>
      <c r="J40" s="43" t="s">
        <v>96</v>
      </c>
      <c r="K40" s="43">
        <v>2400</v>
      </c>
    </row>
    <row r="41" spans="1:11" ht="16.5">
      <c r="A41" s="13" t="s">
        <v>845</v>
      </c>
      <c r="C41" s="43"/>
      <c r="D41" s="43"/>
      <c r="E41" s="43"/>
      <c r="F41" s="43"/>
      <c r="G41" s="43"/>
      <c r="H41" s="43"/>
      <c r="I41" s="43"/>
      <c r="J41" s="43"/>
      <c r="K41" s="43"/>
    </row>
    <row r="42" spans="1:11">
      <c r="A42" s="13" t="s">
        <v>59</v>
      </c>
      <c r="B42" s="13" t="s">
        <v>114</v>
      </c>
      <c r="C42" s="43">
        <v>210</v>
      </c>
      <c r="D42" s="43"/>
      <c r="E42" s="43"/>
      <c r="F42" s="43"/>
      <c r="G42" s="43"/>
      <c r="H42" s="43"/>
      <c r="I42" s="43"/>
      <c r="J42" s="43"/>
      <c r="K42" s="43"/>
    </row>
    <row r="43" spans="1:11">
      <c r="A43" s="13" t="s">
        <v>60</v>
      </c>
      <c r="C43" s="43">
        <v>400</v>
      </c>
      <c r="D43" s="43"/>
      <c r="E43" s="43">
        <v>635</v>
      </c>
      <c r="F43" s="43"/>
      <c r="G43" s="43">
        <v>709</v>
      </c>
      <c r="H43" s="43"/>
      <c r="I43" s="43">
        <v>789</v>
      </c>
      <c r="J43" s="43"/>
      <c r="K43" s="43">
        <v>953</v>
      </c>
    </row>
    <row r="44" spans="1:11">
      <c r="A44" s="13" t="s">
        <v>57</v>
      </c>
      <c r="C44" s="43">
        <v>3430</v>
      </c>
      <c r="D44" s="43"/>
      <c r="E44" s="43">
        <v>2378</v>
      </c>
      <c r="F44" s="43"/>
      <c r="G44" s="43">
        <v>2312</v>
      </c>
      <c r="H44" s="43"/>
      <c r="I44" s="43">
        <v>2688</v>
      </c>
      <c r="J44" s="43"/>
      <c r="K44" s="43">
        <v>2588</v>
      </c>
    </row>
    <row r="45" spans="1:11">
      <c r="A45" s="13" t="s">
        <v>58</v>
      </c>
      <c r="C45" s="43">
        <v>4890</v>
      </c>
      <c r="D45" s="43"/>
      <c r="E45" s="43">
        <v>5136</v>
      </c>
      <c r="F45" s="43"/>
      <c r="G45" s="43">
        <v>5337</v>
      </c>
      <c r="H45" s="43"/>
      <c r="I45" s="43">
        <v>4870</v>
      </c>
      <c r="J45" s="43"/>
      <c r="K45" s="43">
        <v>4931</v>
      </c>
    </row>
    <row r="46" spans="1:11">
      <c r="A46" s="13" t="s">
        <v>115</v>
      </c>
      <c r="C46" s="43">
        <v>2</v>
      </c>
      <c r="D46" s="43"/>
      <c r="E46" s="43">
        <v>3</v>
      </c>
      <c r="F46" s="43"/>
      <c r="G46" s="43">
        <v>1</v>
      </c>
      <c r="H46" s="43"/>
      <c r="I46" s="43">
        <v>1</v>
      </c>
      <c r="J46" s="43"/>
      <c r="K46" s="43">
        <v>3</v>
      </c>
    </row>
    <row r="47" spans="1:11" ht="7.5" customHeight="1">
      <c r="A47" s="35"/>
      <c r="B47" s="35"/>
      <c r="C47" s="35"/>
      <c r="D47" s="35"/>
      <c r="E47" s="35"/>
      <c r="F47" s="35"/>
      <c r="G47" s="35"/>
      <c r="H47" s="35"/>
      <c r="I47" s="35"/>
      <c r="J47" s="35"/>
      <c r="K47" s="35"/>
    </row>
    <row r="48" spans="1:11" ht="7.5" customHeight="1"/>
    <row r="49" spans="1:11">
      <c r="A49" s="13" t="s">
        <v>14</v>
      </c>
      <c r="B49" s="104" t="s">
        <v>15</v>
      </c>
      <c r="C49" s="104"/>
      <c r="D49" s="104"/>
      <c r="E49" s="104"/>
      <c r="F49" s="104"/>
      <c r="G49" s="104"/>
      <c r="H49" s="104"/>
      <c r="I49" s="104"/>
      <c r="J49" s="104"/>
      <c r="K49" s="104"/>
    </row>
    <row r="50" spans="1:11">
      <c r="A50" s="13" t="s">
        <v>69</v>
      </c>
      <c r="B50" s="104" t="s">
        <v>116</v>
      </c>
      <c r="C50" s="104"/>
      <c r="D50" s="104"/>
      <c r="E50" s="104"/>
      <c r="F50" s="104"/>
      <c r="G50" s="104"/>
      <c r="H50" s="104"/>
      <c r="I50" s="104"/>
      <c r="J50" s="104"/>
      <c r="K50" s="104"/>
    </row>
    <row r="51" spans="1:11">
      <c r="A51" s="13" t="s">
        <v>71</v>
      </c>
      <c r="B51" s="104" t="s">
        <v>117</v>
      </c>
      <c r="C51" s="104"/>
      <c r="D51" s="104"/>
      <c r="E51" s="104"/>
      <c r="F51" s="104"/>
      <c r="G51" s="104"/>
      <c r="H51" s="104"/>
      <c r="I51" s="104"/>
      <c r="J51" s="104"/>
      <c r="K51" s="104"/>
    </row>
    <row r="52" spans="1:11">
      <c r="A52" s="13" t="s">
        <v>118</v>
      </c>
      <c r="B52" s="104" t="s">
        <v>119</v>
      </c>
      <c r="C52" s="104"/>
      <c r="D52" s="104"/>
      <c r="E52" s="104"/>
      <c r="F52" s="104"/>
      <c r="G52" s="104"/>
      <c r="H52" s="104"/>
      <c r="I52" s="104"/>
      <c r="J52" s="104"/>
      <c r="K52" s="104"/>
    </row>
    <row r="53" spans="1:11">
      <c r="A53" s="13" t="s">
        <v>120</v>
      </c>
      <c r="B53" s="103" t="s">
        <v>121</v>
      </c>
      <c r="C53" s="103"/>
      <c r="D53" s="103"/>
      <c r="E53" s="103"/>
      <c r="F53" s="103"/>
      <c r="G53" s="103"/>
      <c r="H53" s="103"/>
      <c r="I53" s="103"/>
      <c r="J53" s="103"/>
      <c r="K53" s="103"/>
    </row>
    <row r="54" spans="1:11">
      <c r="A54" s="13" t="s">
        <v>122</v>
      </c>
      <c r="B54" s="103" t="s">
        <v>123</v>
      </c>
      <c r="C54" s="103"/>
      <c r="D54" s="103"/>
      <c r="E54" s="103"/>
      <c r="F54" s="103"/>
      <c r="G54" s="103"/>
      <c r="H54" s="103"/>
      <c r="I54" s="103"/>
      <c r="J54" s="103"/>
      <c r="K54" s="103"/>
    </row>
    <row r="55" spans="1:11" ht="48" customHeight="1">
      <c r="A55" s="13" t="s">
        <v>124</v>
      </c>
      <c r="B55" s="103" t="s">
        <v>781</v>
      </c>
      <c r="C55" s="103"/>
      <c r="D55" s="103"/>
      <c r="E55" s="103"/>
      <c r="F55" s="103"/>
      <c r="G55" s="103"/>
      <c r="H55" s="103"/>
      <c r="I55" s="103"/>
      <c r="J55" s="103"/>
      <c r="K55" s="103"/>
    </row>
    <row r="56" spans="1:11">
      <c r="A56" s="13" t="s">
        <v>125</v>
      </c>
      <c r="B56" s="103" t="s">
        <v>126</v>
      </c>
      <c r="C56" s="103"/>
      <c r="D56" s="103"/>
      <c r="E56" s="103"/>
      <c r="F56" s="103"/>
      <c r="G56" s="103"/>
      <c r="H56" s="103"/>
      <c r="I56" s="103"/>
      <c r="J56" s="103"/>
      <c r="K56" s="103"/>
    </row>
    <row r="57" spans="1:11">
      <c r="A57" s="13" t="s">
        <v>127</v>
      </c>
      <c r="B57" s="103" t="s">
        <v>128</v>
      </c>
      <c r="C57" s="103"/>
      <c r="D57" s="103"/>
      <c r="E57" s="103"/>
      <c r="F57" s="103"/>
      <c r="G57" s="103"/>
      <c r="H57" s="103"/>
      <c r="I57" s="103"/>
      <c r="J57" s="103"/>
      <c r="K57" s="103"/>
    </row>
    <row r="58" spans="1:11">
      <c r="A58" s="13" t="s">
        <v>129</v>
      </c>
      <c r="B58" s="103" t="s">
        <v>130</v>
      </c>
      <c r="C58" s="103"/>
      <c r="D58" s="103"/>
      <c r="E58" s="103"/>
      <c r="F58" s="103"/>
      <c r="G58" s="103"/>
      <c r="H58" s="103"/>
      <c r="I58" s="103"/>
      <c r="J58" s="103"/>
      <c r="K58" s="103"/>
    </row>
    <row r="59" spans="1:11">
      <c r="A59" s="13" t="s">
        <v>131</v>
      </c>
      <c r="B59" s="103" t="s">
        <v>132</v>
      </c>
      <c r="C59" s="103"/>
      <c r="D59" s="103"/>
      <c r="E59" s="103"/>
      <c r="F59" s="103"/>
      <c r="G59" s="103"/>
      <c r="H59" s="103"/>
      <c r="I59" s="103"/>
      <c r="J59" s="103"/>
      <c r="K59" s="103"/>
    </row>
    <row r="60" spans="1:11">
      <c r="A60" s="13" t="s">
        <v>133</v>
      </c>
      <c r="B60" s="103" t="s">
        <v>134</v>
      </c>
      <c r="C60" s="103"/>
      <c r="D60" s="103"/>
      <c r="E60" s="103"/>
      <c r="F60" s="103"/>
      <c r="G60" s="103"/>
      <c r="H60" s="103"/>
      <c r="I60" s="103"/>
      <c r="J60" s="103"/>
      <c r="K60" s="103"/>
    </row>
    <row r="61" spans="1:11" ht="6.75" customHeight="1"/>
    <row r="62" spans="1:11" ht="33.75" customHeight="1">
      <c r="A62" s="103" t="s">
        <v>780</v>
      </c>
      <c r="B62" s="103"/>
      <c r="C62" s="103"/>
      <c r="D62" s="103"/>
      <c r="E62" s="103"/>
      <c r="F62" s="103"/>
      <c r="G62" s="103"/>
      <c r="H62" s="103"/>
      <c r="I62" s="103"/>
      <c r="J62" s="103"/>
    </row>
    <row r="63" spans="1:11" ht="8.25" customHeight="1"/>
    <row r="64" spans="1:11" ht="8.25" customHeight="1">
      <c r="E64" s="47"/>
    </row>
    <row r="65" spans="1:1">
      <c r="A65" s="46" t="str">
        <f>HYPERLINK("[UKMY 2023 PrintableV1.1 12_09_24.xlsx]Contents!A1","Return to contents page")</f>
        <v>Return to contents page</v>
      </c>
    </row>
  </sheetData>
  <mergeCells count="13">
    <mergeCell ref="B58:K58"/>
    <mergeCell ref="B59:K59"/>
    <mergeCell ref="B60:K60"/>
    <mergeCell ref="A62:J62"/>
    <mergeCell ref="B49:K49"/>
    <mergeCell ref="B50:K50"/>
    <mergeCell ref="B51:K51"/>
    <mergeCell ref="B52:K52"/>
    <mergeCell ref="B53:K53"/>
    <mergeCell ref="B54:K54"/>
    <mergeCell ref="B55:K55"/>
    <mergeCell ref="B56:K56"/>
    <mergeCell ref="B57:K57"/>
  </mergeCells>
  <pageMargins left="0.7" right="0.7" top="0.75" bottom="0.75" header="0.3" footer="0.3"/>
  <pageSetup paperSize="9" orientation="landscape" r:id="rId1"/>
  <legacy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5145-2BEC-4DCE-A368-85169F5EAB59}">
  <dimension ref="A1:M64"/>
  <sheetViews>
    <sheetView view="pageBreakPreview" zoomScaleNormal="100" zoomScaleSheetLayoutView="100" workbookViewId="0">
      <selection activeCell="B6" sqref="B6"/>
    </sheetView>
  </sheetViews>
  <sheetFormatPr defaultColWidth="9.1796875" defaultRowHeight="14"/>
  <cols>
    <col min="1" max="1" width="21.81640625" style="73" customWidth="1"/>
    <col min="2" max="2" width="33" style="73" bestFit="1" customWidth="1"/>
    <col min="3" max="3" width="21.453125" style="73" bestFit="1" customWidth="1"/>
    <col min="4" max="4" width="2.1796875" style="73" bestFit="1" customWidth="1"/>
    <col min="5" max="5" width="8.453125" style="73" bestFit="1" customWidth="1"/>
    <col min="6" max="6" width="2.1796875" style="73" bestFit="1" customWidth="1"/>
    <col min="7" max="7" width="8.453125" style="73" bestFit="1" customWidth="1"/>
    <col min="8" max="8" width="2.1796875" style="73" bestFit="1" customWidth="1"/>
    <col min="9" max="9" width="8.453125" style="73" bestFit="1" customWidth="1"/>
    <col min="10" max="10" width="2.1796875" style="73" bestFit="1" customWidth="1"/>
    <col min="11" max="11" width="8.453125" style="73" bestFit="1" customWidth="1"/>
    <col min="12" max="12" width="2.1796875" style="73" bestFit="1" customWidth="1"/>
    <col min="13" max="13" width="8.453125" style="73" bestFit="1" customWidth="1"/>
    <col min="14" max="16384" width="9.1796875" style="73"/>
  </cols>
  <sheetData>
    <row r="1" spans="1:13" ht="15.5">
      <c r="A1" s="72" t="s">
        <v>530</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531</v>
      </c>
      <c r="C3" s="73" t="s">
        <v>839</v>
      </c>
      <c r="E3" s="75">
        <v>210000</v>
      </c>
      <c r="G3" s="73">
        <v>0</v>
      </c>
      <c r="I3" s="73">
        <v>0</v>
      </c>
      <c r="K3" s="73">
        <v>0</v>
      </c>
      <c r="M3" s="73">
        <v>0</v>
      </c>
    </row>
    <row r="4" spans="1:13">
      <c r="A4" s="73" t="s">
        <v>38</v>
      </c>
      <c r="B4" s="73" t="s">
        <v>536</v>
      </c>
      <c r="C4" s="73" t="s">
        <v>839</v>
      </c>
      <c r="E4" s="75">
        <v>400000</v>
      </c>
      <c r="G4" s="75">
        <v>632000</v>
      </c>
      <c r="I4" s="75">
        <v>709000</v>
      </c>
      <c r="K4" s="75">
        <v>789000</v>
      </c>
      <c r="M4" s="75">
        <v>953000</v>
      </c>
    </row>
    <row r="6" spans="1:13">
      <c r="A6" s="73" t="s">
        <v>19</v>
      </c>
      <c r="B6" s="73" t="s">
        <v>531</v>
      </c>
      <c r="C6" s="73" t="s">
        <v>829</v>
      </c>
      <c r="E6" s="75">
        <v>73172</v>
      </c>
      <c r="G6" s="75">
        <v>105644</v>
      </c>
      <c r="I6" s="75">
        <v>93381</v>
      </c>
      <c r="K6" s="75">
        <v>72329</v>
      </c>
      <c r="M6" s="75">
        <v>161410</v>
      </c>
    </row>
    <row r="7" spans="1:13">
      <c r="A7" s="73" t="s">
        <v>19</v>
      </c>
      <c r="B7" s="73" t="s">
        <v>531</v>
      </c>
      <c r="C7" s="73" t="s">
        <v>201</v>
      </c>
      <c r="E7" s="75">
        <v>333293</v>
      </c>
      <c r="G7" s="75">
        <v>448937</v>
      </c>
      <c r="I7" s="75">
        <v>426057</v>
      </c>
      <c r="K7" s="75">
        <v>332590</v>
      </c>
      <c r="M7" s="75">
        <v>369296</v>
      </c>
    </row>
    <row r="8" spans="1:13">
      <c r="A8" s="73" t="s">
        <v>19</v>
      </c>
      <c r="B8" s="73" t="s">
        <v>532</v>
      </c>
      <c r="C8" s="73" t="s">
        <v>829</v>
      </c>
    </row>
    <row r="9" spans="1:13">
      <c r="A9" s="73" t="s">
        <v>19</v>
      </c>
      <c r="B9" s="73" t="s">
        <v>532</v>
      </c>
      <c r="C9" s="73" t="s">
        <v>201</v>
      </c>
    </row>
    <row r="10" spans="1:13">
      <c r="A10" s="73" t="s">
        <v>19</v>
      </c>
      <c r="B10" s="73" t="s">
        <v>533</v>
      </c>
      <c r="C10" s="73" t="s">
        <v>829</v>
      </c>
      <c r="E10" s="75">
        <v>1357</v>
      </c>
      <c r="G10" s="75">
        <v>1731</v>
      </c>
      <c r="I10" s="75">
        <v>1560</v>
      </c>
      <c r="K10" s="75">
        <v>2284</v>
      </c>
      <c r="M10" s="75">
        <v>3566</v>
      </c>
    </row>
    <row r="11" spans="1:13">
      <c r="A11" s="73" t="s">
        <v>19</v>
      </c>
      <c r="B11" s="73" t="s">
        <v>533</v>
      </c>
      <c r="C11" s="73" t="s">
        <v>201</v>
      </c>
      <c r="E11" s="75">
        <v>2866</v>
      </c>
      <c r="G11" s="75">
        <v>3563</v>
      </c>
      <c r="I11" s="73">
        <v>622</v>
      </c>
      <c r="K11" s="75">
        <v>3568</v>
      </c>
      <c r="M11" s="75">
        <v>8778</v>
      </c>
    </row>
    <row r="12" spans="1:13">
      <c r="A12" s="73" t="s">
        <v>19</v>
      </c>
      <c r="B12" s="73" t="s">
        <v>534</v>
      </c>
      <c r="C12" s="73" t="s">
        <v>201</v>
      </c>
    </row>
    <row r="13" spans="1:13">
      <c r="A13" s="73" t="s">
        <v>19</v>
      </c>
      <c r="B13" s="73" t="s">
        <v>535</v>
      </c>
      <c r="C13" s="73" t="s">
        <v>829</v>
      </c>
      <c r="E13" s="75">
        <v>3845</v>
      </c>
      <c r="G13" s="75">
        <v>4272</v>
      </c>
      <c r="I13" s="75">
        <v>6708</v>
      </c>
      <c r="K13" s="75">
        <v>4915</v>
      </c>
      <c r="M13" s="75">
        <v>8131</v>
      </c>
    </row>
    <row r="14" spans="1:13">
      <c r="A14" s="73" t="s">
        <v>19</v>
      </c>
      <c r="B14" s="73" t="s">
        <v>535</v>
      </c>
      <c r="C14" s="73" t="s">
        <v>201</v>
      </c>
      <c r="E14" s="75">
        <v>10151</v>
      </c>
      <c r="G14" s="75">
        <v>9057</v>
      </c>
      <c r="I14" s="75">
        <v>12087</v>
      </c>
      <c r="K14" s="75">
        <v>6062</v>
      </c>
      <c r="M14" s="75">
        <v>10956</v>
      </c>
    </row>
    <row r="16" spans="1:13">
      <c r="A16" s="73" t="s">
        <v>20</v>
      </c>
      <c r="B16" s="73" t="s">
        <v>531</v>
      </c>
      <c r="C16" s="73" t="s">
        <v>829</v>
      </c>
      <c r="E16" s="75">
        <v>12573</v>
      </c>
      <c r="G16" s="75">
        <v>18801</v>
      </c>
      <c r="I16" s="75">
        <v>21428</v>
      </c>
      <c r="K16" s="75">
        <v>21796</v>
      </c>
      <c r="M16" s="75">
        <v>65249</v>
      </c>
    </row>
    <row r="17" spans="1:13">
      <c r="A17" s="73" t="s">
        <v>20</v>
      </c>
      <c r="B17" s="73" t="s">
        <v>531</v>
      </c>
      <c r="C17" s="73" t="s">
        <v>201</v>
      </c>
      <c r="E17" s="75">
        <v>36633</v>
      </c>
      <c r="G17" s="75">
        <v>77842</v>
      </c>
      <c r="I17" s="75">
        <v>113492</v>
      </c>
      <c r="K17" s="75">
        <v>100262</v>
      </c>
      <c r="M17" s="75">
        <v>134888</v>
      </c>
    </row>
    <row r="18" spans="1:13">
      <c r="A18" s="73" t="s">
        <v>20</v>
      </c>
      <c r="B18" s="73" t="s">
        <v>532</v>
      </c>
      <c r="C18" s="73" t="s">
        <v>829</v>
      </c>
    </row>
    <row r="19" spans="1:13">
      <c r="A19" s="73" t="s">
        <v>20</v>
      </c>
      <c r="B19" s="73" t="s">
        <v>532</v>
      </c>
      <c r="C19" s="73" t="s">
        <v>201</v>
      </c>
    </row>
    <row r="20" spans="1:13">
      <c r="A20" s="73" t="s">
        <v>20</v>
      </c>
      <c r="B20" s="73" t="s">
        <v>533</v>
      </c>
      <c r="C20" s="73" t="s">
        <v>829</v>
      </c>
      <c r="E20" s="75">
        <v>23122</v>
      </c>
      <c r="G20" s="75">
        <v>38599</v>
      </c>
      <c r="I20" s="75">
        <v>41336</v>
      </c>
      <c r="K20" s="75">
        <v>68089</v>
      </c>
      <c r="M20" s="75">
        <v>110730</v>
      </c>
    </row>
    <row r="21" spans="1:13">
      <c r="A21" s="73" t="s">
        <v>20</v>
      </c>
      <c r="B21" s="73" t="s">
        <v>533</v>
      </c>
      <c r="C21" s="73" t="s">
        <v>201</v>
      </c>
      <c r="E21" s="75">
        <v>283256</v>
      </c>
      <c r="G21" s="75">
        <v>451513</v>
      </c>
      <c r="I21" s="75">
        <v>519081</v>
      </c>
      <c r="K21" s="75">
        <v>591654</v>
      </c>
      <c r="M21" s="75">
        <v>640560</v>
      </c>
    </row>
    <row r="22" spans="1:13">
      <c r="A22" s="73" t="s">
        <v>20</v>
      </c>
      <c r="B22" s="73" t="s">
        <v>534</v>
      </c>
      <c r="C22" s="73" t="s">
        <v>201</v>
      </c>
    </row>
    <row r="23" spans="1:13">
      <c r="A23" s="73" t="s">
        <v>20</v>
      </c>
      <c r="B23" s="73" t="s">
        <v>535</v>
      </c>
      <c r="C23" s="73" t="s">
        <v>829</v>
      </c>
      <c r="E23" s="73">
        <v>607</v>
      </c>
      <c r="G23" s="73">
        <v>710</v>
      </c>
      <c r="I23" s="73">
        <v>810</v>
      </c>
      <c r="K23" s="73">
        <v>829</v>
      </c>
      <c r="M23" s="75">
        <v>1382</v>
      </c>
    </row>
    <row r="24" spans="1:13">
      <c r="A24" s="73" t="s">
        <v>20</v>
      </c>
      <c r="B24" s="73" t="s">
        <v>535</v>
      </c>
      <c r="C24" s="73" t="s">
        <v>201</v>
      </c>
      <c r="E24" s="75">
        <v>2221</v>
      </c>
      <c r="G24" s="75">
        <v>2546</v>
      </c>
      <c r="I24" s="75">
        <v>3221</v>
      </c>
      <c r="K24" s="75">
        <v>3332</v>
      </c>
      <c r="M24" s="75">
        <v>3267</v>
      </c>
    </row>
    <row r="25" spans="1:13">
      <c r="A25" s="76"/>
      <c r="B25" s="76"/>
      <c r="C25" s="76"/>
      <c r="D25" s="76"/>
      <c r="E25" s="76"/>
      <c r="F25" s="76"/>
      <c r="G25" s="76"/>
      <c r="H25" s="76"/>
      <c r="I25" s="76"/>
      <c r="J25" s="76"/>
      <c r="K25" s="76"/>
      <c r="L25" s="76"/>
      <c r="M25" s="76"/>
    </row>
    <row r="28" spans="1:13">
      <c r="A28" s="77" t="str">
        <f>HYPERLINK("[UKMY 2023 PrintableV1.1 12_09_24.xlsx]Contents!A1","Return to contents page")</f>
        <v>Return to contents page</v>
      </c>
    </row>
    <row r="64" spans="5:5">
      <c r="E64" s="78"/>
    </row>
  </sheetData>
  <sortState xmlns:xlrd2="http://schemas.microsoft.com/office/spreadsheetml/2017/richdata2" ref="A3:M24">
    <sortCondition ref="A16:A24"/>
    <sortCondition ref="B16:B24"/>
  </sortState>
  <pageMargins left="0.7" right="0.7" top="0.75" bottom="0.75" header="0.3" footer="0.3"/>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07C0C-F1CF-412A-A921-FA4FC77BAA31}">
  <dimension ref="A1:M64"/>
  <sheetViews>
    <sheetView view="pageBreakPreview" zoomScaleNormal="100" zoomScaleSheetLayoutView="100" workbookViewId="0">
      <selection activeCell="B6" sqref="B6"/>
    </sheetView>
  </sheetViews>
  <sheetFormatPr defaultColWidth="9.1796875" defaultRowHeight="14"/>
  <cols>
    <col min="1" max="1" width="13.1796875" style="73" customWidth="1"/>
    <col min="2" max="2" width="42.453125" style="73" customWidth="1"/>
    <col min="3" max="3" width="15.26953125" style="73" bestFit="1" customWidth="1"/>
    <col min="4" max="4" width="3.453125" style="73" bestFit="1" customWidth="1"/>
    <col min="5" max="5" width="8.453125" style="73" bestFit="1" customWidth="1"/>
    <col min="6" max="6" width="3.453125" style="73" bestFit="1" customWidth="1"/>
    <col min="7" max="7" width="8.453125" style="73" bestFit="1" customWidth="1"/>
    <col min="8" max="8" width="3.453125" style="73" bestFit="1" customWidth="1"/>
    <col min="9" max="9" width="7.26953125" style="73" bestFit="1" customWidth="1"/>
    <col min="10" max="10" width="3.453125" style="73" bestFit="1" customWidth="1"/>
    <col min="11" max="11" width="8.453125" style="73" bestFit="1" customWidth="1"/>
    <col min="12" max="12" width="3.453125" style="73" bestFit="1" customWidth="1"/>
    <col min="13" max="13" width="10.1796875" style="73" bestFit="1" customWidth="1"/>
    <col min="14" max="16384" width="9.1796875" style="73"/>
  </cols>
  <sheetData>
    <row r="1" spans="1:13" ht="15.5">
      <c r="A1" s="72" t="s">
        <v>537</v>
      </c>
    </row>
    <row r="2" spans="1:13">
      <c r="A2" s="74" t="s">
        <v>670</v>
      </c>
      <c r="B2" s="80" t="s">
        <v>0</v>
      </c>
      <c r="C2" s="74" t="s">
        <v>669</v>
      </c>
      <c r="D2" s="74" t="s">
        <v>1</v>
      </c>
      <c r="E2" s="74">
        <v>2018</v>
      </c>
      <c r="F2" s="74" t="s">
        <v>1</v>
      </c>
      <c r="G2" s="74">
        <v>2019</v>
      </c>
      <c r="H2" s="74" t="s">
        <v>1</v>
      </c>
      <c r="I2" s="74">
        <v>2020</v>
      </c>
      <c r="J2" s="74" t="s">
        <v>1</v>
      </c>
      <c r="K2" s="74">
        <v>2021</v>
      </c>
      <c r="L2" s="74" t="s">
        <v>1</v>
      </c>
      <c r="M2" s="74">
        <v>2022</v>
      </c>
    </row>
    <row r="3" spans="1:13" ht="28">
      <c r="A3" s="73" t="s">
        <v>19</v>
      </c>
      <c r="B3" s="79" t="s">
        <v>538</v>
      </c>
      <c r="C3" s="73" t="s">
        <v>829</v>
      </c>
      <c r="D3" s="73" t="s">
        <v>205</v>
      </c>
      <c r="E3" s="73">
        <v>427</v>
      </c>
      <c r="F3" s="73" t="s">
        <v>205</v>
      </c>
      <c r="G3" s="73">
        <v>66</v>
      </c>
      <c r="H3" s="73" t="s">
        <v>205</v>
      </c>
      <c r="I3" s="73">
        <v>126</v>
      </c>
      <c r="J3" s="73" t="s">
        <v>205</v>
      </c>
      <c r="K3" s="73">
        <v>215</v>
      </c>
      <c r="L3" s="73" t="s">
        <v>205</v>
      </c>
      <c r="M3" s="73">
        <v>416</v>
      </c>
    </row>
    <row r="4" spans="1:13" ht="28">
      <c r="A4" s="73" t="s">
        <v>19</v>
      </c>
      <c r="B4" s="79" t="s">
        <v>538</v>
      </c>
      <c r="C4" s="73" t="s">
        <v>201</v>
      </c>
      <c r="D4" s="73" t="s">
        <v>205</v>
      </c>
      <c r="E4" s="73">
        <v>1</v>
      </c>
      <c r="F4" s="73" t="s">
        <v>205</v>
      </c>
      <c r="G4" s="73">
        <v>1</v>
      </c>
      <c r="H4" s="73" t="s">
        <v>205</v>
      </c>
      <c r="I4" s="73">
        <v>1</v>
      </c>
      <c r="J4" s="73" t="s">
        <v>205</v>
      </c>
      <c r="K4" s="73">
        <v>1</v>
      </c>
      <c r="L4" s="73" t="s">
        <v>205</v>
      </c>
      <c r="M4" s="73">
        <v>1</v>
      </c>
    </row>
    <row r="5" spans="1:13" ht="28">
      <c r="A5" s="73" t="s">
        <v>19</v>
      </c>
      <c r="B5" s="79" t="s">
        <v>539</v>
      </c>
      <c r="C5" s="73" t="s">
        <v>829</v>
      </c>
      <c r="D5" s="73" t="s">
        <v>205</v>
      </c>
      <c r="E5" s="75">
        <v>94105</v>
      </c>
      <c r="F5" s="73" t="s">
        <v>205</v>
      </c>
      <c r="G5" s="75">
        <v>135750</v>
      </c>
      <c r="H5" s="73" t="s">
        <v>205</v>
      </c>
      <c r="I5" s="75">
        <v>70577</v>
      </c>
      <c r="J5" s="73" t="s">
        <v>205</v>
      </c>
      <c r="K5" s="75">
        <v>150706</v>
      </c>
      <c r="L5" s="73" t="s">
        <v>205</v>
      </c>
      <c r="M5" s="75">
        <v>201727</v>
      </c>
    </row>
    <row r="6" spans="1:13" ht="28">
      <c r="A6" s="73" t="s">
        <v>19</v>
      </c>
      <c r="B6" s="79" t="s">
        <v>539</v>
      </c>
      <c r="C6" s="73" t="s">
        <v>201</v>
      </c>
      <c r="D6" s="73" t="s">
        <v>205</v>
      </c>
      <c r="E6" s="73">
        <v>387</v>
      </c>
      <c r="F6" s="73" t="s">
        <v>205</v>
      </c>
      <c r="G6" s="73">
        <v>474</v>
      </c>
      <c r="H6" s="73" t="s">
        <v>205</v>
      </c>
      <c r="I6" s="73">
        <v>436</v>
      </c>
      <c r="J6" s="73" t="s">
        <v>205</v>
      </c>
      <c r="K6" s="75">
        <v>1288</v>
      </c>
      <c r="L6" s="73" t="s">
        <v>205</v>
      </c>
      <c r="M6" s="75">
        <v>1022</v>
      </c>
    </row>
    <row r="7" spans="1:13" ht="28">
      <c r="A7" s="73" t="s">
        <v>19</v>
      </c>
      <c r="B7" s="79" t="s">
        <v>540</v>
      </c>
      <c r="C7" s="73" t="s">
        <v>829</v>
      </c>
      <c r="D7" s="73" t="s">
        <v>205</v>
      </c>
      <c r="E7" s="75">
        <v>7478</v>
      </c>
      <c r="F7" s="73" t="s">
        <v>205</v>
      </c>
      <c r="G7" s="75">
        <v>17121</v>
      </c>
      <c r="H7" s="73" t="s">
        <v>205</v>
      </c>
      <c r="I7" s="73">
        <v>280</v>
      </c>
      <c r="J7" s="73" t="s">
        <v>205</v>
      </c>
      <c r="K7" s="73">
        <v>211</v>
      </c>
      <c r="L7" s="73" t="s">
        <v>205</v>
      </c>
      <c r="M7" s="73">
        <v>806</v>
      </c>
    </row>
    <row r="8" spans="1:13" ht="28">
      <c r="A8" s="73" t="s">
        <v>19</v>
      </c>
      <c r="B8" s="79" t="s">
        <v>540</v>
      </c>
      <c r="C8" s="73" t="s">
        <v>201</v>
      </c>
      <c r="D8" s="73" t="s">
        <v>205</v>
      </c>
      <c r="E8" s="73">
        <v>18</v>
      </c>
      <c r="F8" s="73" t="s">
        <v>205</v>
      </c>
      <c r="G8" s="73">
        <v>41</v>
      </c>
      <c r="H8" s="73" t="s">
        <v>205</v>
      </c>
      <c r="I8" s="73">
        <v>1</v>
      </c>
      <c r="J8" s="73" t="s">
        <v>205</v>
      </c>
      <c r="K8" s="73">
        <v>1</v>
      </c>
      <c r="L8" s="73" t="s">
        <v>205</v>
      </c>
      <c r="M8" s="73">
        <v>1</v>
      </c>
    </row>
    <row r="9" spans="1:13" ht="7.5" customHeight="1">
      <c r="B9" s="79"/>
    </row>
    <row r="10" spans="1:13" ht="28">
      <c r="A10" s="73" t="s">
        <v>20</v>
      </c>
      <c r="B10" s="79" t="s">
        <v>538</v>
      </c>
      <c r="C10" s="73" t="s">
        <v>829</v>
      </c>
      <c r="D10" s="73" t="s">
        <v>205</v>
      </c>
      <c r="E10" s="73">
        <v>144</v>
      </c>
      <c r="F10" s="73" t="s">
        <v>205</v>
      </c>
      <c r="G10" s="73">
        <v>243</v>
      </c>
      <c r="H10" s="73" t="s">
        <v>205</v>
      </c>
      <c r="I10" s="73">
        <v>38</v>
      </c>
      <c r="J10" s="73" t="s">
        <v>205</v>
      </c>
      <c r="K10" s="73">
        <v>46</v>
      </c>
      <c r="L10" s="73" t="s">
        <v>205</v>
      </c>
      <c r="M10" s="73">
        <v>106</v>
      </c>
    </row>
    <row r="11" spans="1:13" ht="28">
      <c r="A11" s="73" t="s">
        <v>20</v>
      </c>
      <c r="B11" s="79" t="s">
        <v>538</v>
      </c>
      <c r="C11" s="73" t="s">
        <v>201</v>
      </c>
      <c r="D11" s="73" t="s">
        <v>205</v>
      </c>
      <c r="E11" s="73">
        <v>1</v>
      </c>
      <c r="F11" s="73" t="s">
        <v>205</v>
      </c>
      <c r="G11" s="73">
        <v>132</v>
      </c>
      <c r="H11" s="73" t="s">
        <v>205</v>
      </c>
      <c r="I11" s="73">
        <v>2</v>
      </c>
      <c r="J11" s="73" t="s">
        <v>205</v>
      </c>
      <c r="K11" s="73">
        <v>0</v>
      </c>
      <c r="L11" s="73" t="s">
        <v>205</v>
      </c>
      <c r="M11" s="73">
        <v>0</v>
      </c>
    </row>
    <row r="12" spans="1:13" ht="28">
      <c r="A12" s="73" t="s">
        <v>20</v>
      </c>
      <c r="B12" s="79" t="s">
        <v>539</v>
      </c>
      <c r="C12" s="73" t="s">
        <v>829</v>
      </c>
      <c r="D12" s="73" t="s">
        <v>205</v>
      </c>
      <c r="E12" s="75">
        <v>116802</v>
      </c>
      <c r="F12" s="73" t="s">
        <v>205</v>
      </c>
      <c r="G12" s="75">
        <v>209652</v>
      </c>
      <c r="H12" s="73" t="s">
        <v>205</v>
      </c>
      <c r="I12" s="75">
        <v>55393</v>
      </c>
      <c r="J12" s="73" t="s">
        <v>205</v>
      </c>
      <c r="K12" s="75">
        <v>85421</v>
      </c>
      <c r="L12" s="73" t="s">
        <v>205</v>
      </c>
      <c r="M12" s="75">
        <v>1102935</v>
      </c>
    </row>
    <row r="13" spans="1:13" ht="28">
      <c r="A13" s="73" t="s">
        <v>20</v>
      </c>
      <c r="B13" s="79" t="s">
        <v>539</v>
      </c>
      <c r="C13" s="73" t="s">
        <v>201</v>
      </c>
      <c r="D13" s="73" t="s">
        <v>205</v>
      </c>
      <c r="E13" s="73">
        <v>22</v>
      </c>
      <c r="F13" s="73" t="s">
        <v>205</v>
      </c>
      <c r="G13" s="73">
        <v>154</v>
      </c>
      <c r="H13" s="73" t="s">
        <v>205</v>
      </c>
      <c r="I13" s="73">
        <v>14</v>
      </c>
      <c r="J13" s="73" t="s">
        <v>205</v>
      </c>
      <c r="K13" s="73">
        <v>111</v>
      </c>
      <c r="L13" s="73" t="s">
        <v>205</v>
      </c>
      <c r="M13" s="73">
        <v>669</v>
      </c>
    </row>
    <row r="14" spans="1:13" ht="28">
      <c r="A14" s="73" t="s">
        <v>20</v>
      </c>
      <c r="B14" s="79" t="s">
        <v>540</v>
      </c>
      <c r="C14" s="73" t="s">
        <v>829</v>
      </c>
      <c r="D14" s="73" t="s">
        <v>205</v>
      </c>
      <c r="E14" s="75">
        <v>24754</v>
      </c>
      <c r="F14" s="73" t="s">
        <v>205</v>
      </c>
      <c r="G14" s="75">
        <v>17813</v>
      </c>
      <c r="H14" s="73" t="s">
        <v>205</v>
      </c>
      <c r="I14" s="73">
        <v>462</v>
      </c>
      <c r="J14" s="73" t="s">
        <v>205</v>
      </c>
      <c r="K14" s="73">
        <v>289</v>
      </c>
      <c r="L14" s="73" t="s">
        <v>205</v>
      </c>
      <c r="M14" s="73">
        <v>730</v>
      </c>
    </row>
    <row r="15" spans="1:13" ht="28">
      <c r="A15" s="73" t="s">
        <v>20</v>
      </c>
      <c r="B15" s="79" t="s">
        <v>540</v>
      </c>
      <c r="C15" s="73" t="s">
        <v>201</v>
      </c>
      <c r="D15" s="73" t="s">
        <v>205</v>
      </c>
      <c r="E15" s="73">
        <v>6</v>
      </c>
      <c r="F15" s="73" t="s">
        <v>205</v>
      </c>
      <c r="G15" s="73">
        <v>4</v>
      </c>
      <c r="H15" s="73" t="s">
        <v>205</v>
      </c>
      <c r="I15" s="73">
        <v>1</v>
      </c>
      <c r="J15" s="73" t="s">
        <v>205</v>
      </c>
      <c r="K15" s="73">
        <v>11</v>
      </c>
      <c r="L15" s="73" t="s">
        <v>205</v>
      </c>
      <c r="M15" s="73">
        <v>0</v>
      </c>
    </row>
    <row r="16" spans="1:13" ht="9" customHeight="1">
      <c r="A16" s="76"/>
      <c r="B16" s="81"/>
      <c r="C16" s="76"/>
      <c r="D16" s="76"/>
      <c r="E16" s="76"/>
      <c r="F16" s="76"/>
      <c r="G16" s="76"/>
      <c r="H16" s="76"/>
      <c r="I16" s="76"/>
      <c r="J16" s="76"/>
      <c r="K16" s="76"/>
      <c r="L16" s="76"/>
      <c r="M16" s="76"/>
    </row>
    <row r="17" spans="1:2" ht="9" customHeight="1"/>
    <row r="18" spans="1:2">
      <c r="A18" s="73" t="s">
        <v>14</v>
      </c>
      <c r="B18" s="73" t="s">
        <v>15</v>
      </c>
    </row>
    <row r="19" spans="1:2">
      <c r="A19" s="73" t="s">
        <v>214</v>
      </c>
      <c r="B19" s="73" t="s">
        <v>541</v>
      </c>
    </row>
    <row r="20" spans="1:2" ht="6.75" customHeight="1"/>
    <row r="21" spans="1:2" ht="6.75" customHeight="1"/>
    <row r="22" spans="1:2">
      <c r="A22" s="77" t="str">
        <f>HYPERLINK("[UKMY 2023 PrintableV1.1 12_09_24.xlsx]Contents!A1","Return to contents page")</f>
        <v>Return to contents page</v>
      </c>
    </row>
    <row r="64" spans="5:5">
      <c r="E64" s="78"/>
    </row>
  </sheetData>
  <sortState xmlns:xlrd2="http://schemas.microsoft.com/office/spreadsheetml/2017/richdata2" ref="A3:M15">
    <sortCondition ref="A10:A15"/>
    <sortCondition ref="B10:B15"/>
  </sortState>
  <pageMargins left="0.7" right="0.7" top="0.75" bottom="0.75" header="0.3" footer="0.3"/>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53C8-0AD4-4851-95F8-3627F352E9A2}">
  <dimension ref="A1:O64"/>
  <sheetViews>
    <sheetView view="pageBreakPreview" zoomScaleNormal="100" zoomScaleSheetLayoutView="100" workbookViewId="0">
      <selection activeCell="B13" sqref="B13:N13"/>
    </sheetView>
  </sheetViews>
  <sheetFormatPr defaultColWidth="9.1796875" defaultRowHeight="14"/>
  <cols>
    <col min="1" max="1" width="6.54296875" style="73" customWidth="1"/>
    <col min="2" max="2" width="3.26953125" style="73" customWidth="1"/>
    <col min="3" max="3" width="5.26953125" style="73" bestFit="1" customWidth="1"/>
    <col min="4" max="4" width="2.1796875" style="73" bestFit="1" customWidth="1"/>
    <col min="5" max="5" width="10.54296875" style="73" bestFit="1" customWidth="1"/>
    <col min="6" max="6" width="3.54296875" style="73" bestFit="1" customWidth="1"/>
    <col min="7" max="7" width="11.54296875" style="73" bestFit="1" customWidth="1"/>
    <col min="8" max="8" width="3.54296875" style="73" bestFit="1" customWidth="1"/>
    <col min="9" max="9" width="18.7265625" style="73" bestFit="1" customWidth="1"/>
    <col min="10" max="10" width="2.1796875" style="73" bestFit="1" customWidth="1"/>
    <col min="11" max="11" width="17.7265625" style="73" bestFit="1" customWidth="1"/>
    <col min="12" max="12" width="3.453125" style="73" bestFit="1" customWidth="1"/>
    <col min="13" max="13" width="23.453125" style="73" bestFit="1" customWidth="1"/>
    <col min="14" max="14" width="2.1796875" style="73" bestFit="1" customWidth="1"/>
    <col min="15" max="15" width="13.453125" style="73" customWidth="1"/>
    <col min="16" max="16" width="26" style="73" bestFit="1" customWidth="1"/>
    <col min="17" max="16384" width="9.1796875" style="73"/>
  </cols>
  <sheetData>
    <row r="1" spans="1:15" ht="15.5">
      <c r="A1" s="93" t="s">
        <v>840</v>
      </c>
      <c r="O1" s="94" t="s">
        <v>201</v>
      </c>
    </row>
    <row r="2" spans="1:15">
      <c r="A2" s="74" t="s">
        <v>309</v>
      </c>
      <c r="B2" s="74" t="s">
        <v>1</v>
      </c>
      <c r="C2" s="74" t="s">
        <v>320</v>
      </c>
      <c r="D2" s="74" t="s">
        <v>1</v>
      </c>
      <c r="E2" s="74" t="s">
        <v>42</v>
      </c>
      <c r="F2" s="74" t="s">
        <v>1</v>
      </c>
      <c r="G2" s="74" t="s">
        <v>39</v>
      </c>
      <c r="H2" s="74" t="s">
        <v>1</v>
      </c>
      <c r="I2" s="74" t="s">
        <v>542</v>
      </c>
      <c r="J2" s="74" t="s">
        <v>1</v>
      </c>
      <c r="K2" s="74" t="s">
        <v>543</v>
      </c>
      <c r="L2" s="74" t="s">
        <v>1</v>
      </c>
      <c r="M2" s="74" t="s">
        <v>544</v>
      </c>
      <c r="N2" s="74" t="s">
        <v>1</v>
      </c>
      <c r="O2" s="74" t="s">
        <v>160</v>
      </c>
    </row>
    <row r="3" spans="1:15">
      <c r="A3" s="95">
        <v>2022</v>
      </c>
      <c r="C3" s="73">
        <v>0.5</v>
      </c>
      <c r="E3" s="73">
        <v>41.3</v>
      </c>
      <c r="F3" s="73" t="s">
        <v>41</v>
      </c>
      <c r="G3" s="73">
        <v>36.4</v>
      </c>
      <c r="H3" s="73" t="s">
        <v>53</v>
      </c>
      <c r="I3" s="73">
        <v>13.1</v>
      </c>
      <c r="K3" s="73">
        <v>10.4</v>
      </c>
      <c r="L3" s="73" t="s">
        <v>98</v>
      </c>
      <c r="M3" s="73">
        <v>8.5</v>
      </c>
      <c r="O3" s="73">
        <v>110.2</v>
      </c>
    </row>
    <row r="4" spans="1:15">
      <c r="A4" s="95">
        <v>2021</v>
      </c>
      <c r="C4" s="73">
        <v>0.7</v>
      </c>
      <c r="E4" s="73">
        <v>44.8</v>
      </c>
      <c r="F4" s="73" t="s">
        <v>41</v>
      </c>
      <c r="G4" s="73">
        <v>31.3</v>
      </c>
      <c r="H4" s="73" t="s">
        <v>53</v>
      </c>
      <c r="I4" s="73">
        <v>13.1</v>
      </c>
      <c r="K4" s="73">
        <v>9.9</v>
      </c>
      <c r="L4" s="73" t="s">
        <v>98</v>
      </c>
      <c r="M4" s="73">
        <v>7.1</v>
      </c>
      <c r="O4" s="73">
        <v>106.9</v>
      </c>
    </row>
    <row r="5" spans="1:15">
      <c r="A5" s="95">
        <v>2020</v>
      </c>
      <c r="C5" s="73">
        <v>1.2</v>
      </c>
      <c r="E5" s="73">
        <v>53.7</v>
      </c>
      <c r="F5" s="73" t="s">
        <v>41</v>
      </c>
      <c r="G5" s="73">
        <v>37.700000000000003</v>
      </c>
      <c r="H5" s="73" t="s">
        <v>53</v>
      </c>
      <c r="I5" s="73">
        <v>12.3</v>
      </c>
      <c r="K5" s="73">
        <v>10.7</v>
      </c>
      <c r="L5" s="73" t="s">
        <v>98</v>
      </c>
      <c r="M5" s="73">
        <v>8.1999999999999993</v>
      </c>
      <c r="O5" s="73">
        <v>123.8</v>
      </c>
    </row>
    <row r="6" spans="1:15">
      <c r="A6" s="95">
        <v>2019</v>
      </c>
      <c r="C6" s="73">
        <v>1.8</v>
      </c>
      <c r="E6" s="73">
        <v>57.5</v>
      </c>
      <c r="F6" s="73" t="s">
        <v>41</v>
      </c>
      <c r="G6" s="73">
        <v>37.5</v>
      </c>
      <c r="H6" s="73" t="s">
        <v>53</v>
      </c>
      <c r="I6" s="73">
        <v>11.7</v>
      </c>
      <c r="K6" s="73">
        <v>12.1</v>
      </c>
      <c r="L6" s="73" t="s">
        <v>98</v>
      </c>
      <c r="M6" s="73">
        <v>7.1</v>
      </c>
      <c r="O6" s="73">
        <v>127.7</v>
      </c>
    </row>
    <row r="7" spans="1:15">
      <c r="A7" s="95">
        <v>2018</v>
      </c>
      <c r="C7" s="73">
        <v>2</v>
      </c>
      <c r="E7" s="73">
        <v>56</v>
      </c>
      <c r="F7" s="73" t="s">
        <v>41</v>
      </c>
      <c r="G7" s="73">
        <v>39</v>
      </c>
      <c r="H7" s="73" t="s">
        <v>53</v>
      </c>
      <c r="I7" s="73">
        <v>12</v>
      </c>
      <c r="K7" s="73">
        <v>14</v>
      </c>
      <c r="L7" s="73" t="s">
        <v>98</v>
      </c>
      <c r="M7" s="73">
        <v>6.5</v>
      </c>
      <c r="O7" s="73">
        <v>129.5</v>
      </c>
    </row>
    <row r="8" spans="1:15">
      <c r="A8" s="76"/>
      <c r="B8" s="76"/>
      <c r="C8" s="76"/>
      <c r="D8" s="76"/>
      <c r="E8" s="76"/>
      <c r="F8" s="76"/>
      <c r="G8" s="76"/>
      <c r="H8" s="76"/>
      <c r="I8" s="76"/>
      <c r="J8" s="76"/>
      <c r="K8" s="76"/>
      <c r="L8" s="76"/>
      <c r="M8" s="76"/>
      <c r="N8" s="76"/>
      <c r="O8" s="76"/>
    </row>
    <row r="10" spans="1:15">
      <c r="A10" s="73" t="s">
        <v>14</v>
      </c>
      <c r="B10" s="73" t="s">
        <v>15</v>
      </c>
    </row>
    <row r="11" spans="1:15">
      <c r="A11" s="73" t="s">
        <v>69</v>
      </c>
      <c r="B11" s="111" t="s">
        <v>545</v>
      </c>
      <c r="C11" s="111"/>
      <c r="D11" s="111"/>
      <c r="E11" s="111"/>
      <c r="F11" s="111"/>
      <c r="G11" s="111"/>
      <c r="H11" s="111"/>
      <c r="I11" s="111"/>
      <c r="J11" s="111"/>
      <c r="K11" s="111"/>
      <c r="L11" s="111"/>
      <c r="M11" s="111"/>
      <c r="N11" s="111"/>
    </row>
    <row r="12" spans="1:15" ht="33.75" customHeight="1">
      <c r="A12" s="73" t="s">
        <v>71</v>
      </c>
      <c r="B12" s="111" t="s">
        <v>801</v>
      </c>
      <c r="C12" s="111"/>
      <c r="D12" s="111"/>
      <c r="E12" s="111"/>
      <c r="F12" s="111"/>
      <c r="G12" s="111"/>
      <c r="H12" s="111"/>
      <c r="I12" s="111"/>
      <c r="J12" s="111"/>
      <c r="K12" s="111"/>
      <c r="L12" s="111"/>
      <c r="M12" s="111"/>
      <c r="N12" s="111"/>
    </row>
    <row r="13" spans="1:15">
      <c r="A13" s="73" t="s">
        <v>118</v>
      </c>
      <c r="B13" s="111" t="s">
        <v>802</v>
      </c>
      <c r="C13" s="111"/>
      <c r="D13" s="111"/>
      <c r="E13" s="111"/>
      <c r="F13" s="111"/>
      <c r="G13" s="111"/>
      <c r="H13" s="111"/>
      <c r="I13" s="111"/>
      <c r="J13" s="111"/>
      <c r="K13" s="111"/>
      <c r="L13" s="111"/>
      <c r="M13" s="111"/>
      <c r="N13" s="111"/>
    </row>
    <row r="15" spans="1:15">
      <c r="A15" s="73" t="s">
        <v>546</v>
      </c>
    </row>
    <row r="18" spans="1:1">
      <c r="A18" s="77" t="str">
        <f>HYPERLINK("[UKMY 2023 PrintableV1.1 12_09_24.xlsx]Contents!A1","Return to contents page")</f>
        <v>Return to contents page</v>
      </c>
    </row>
    <row r="64" spans="5:5">
      <c r="E64" s="78"/>
    </row>
  </sheetData>
  <mergeCells count="3">
    <mergeCell ref="B11:N11"/>
    <mergeCell ref="B12:N12"/>
    <mergeCell ref="B13:N13"/>
  </mergeCells>
  <pageMargins left="0.7" right="0.7" top="0.75" bottom="0.75" header="0.3" footer="0.3"/>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75C7-6D46-4935-A5CA-217371EEB5F3}">
  <dimension ref="A1:Q64"/>
  <sheetViews>
    <sheetView view="pageBreakPreview" zoomScaleNormal="100" zoomScaleSheetLayoutView="100" workbookViewId="0">
      <selection activeCell="I15" sqref="I15"/>
    </sheetView>
  </sheetViews>
  <sheetFormatPr defaultColWidth="9.1796875" defaultRowHeight="14"/>
  <cols>
    <col min="1" max="1" width="7.26953125" style="95" customWidth="1"/>
    <col min="2" max="2" width="3.453125" style="73" customWidth="1"/>
    <col min="3" max="3" width="5" style="73" bestFit="1" customWidth="1"/>
    <col min="4" max="4" width="2.1796875" style="73" bestFit="1" customWidth="1"/>
    <col min="5" max="5" width="10" style="73" bestFit="1" customWidth="1"/>
    <col min="6" max="6" width="3.54296875" style="73" bestFit="1" customWidth="1"/>
    <col min="7" max="7" width="11.26953125" style="73" bestFit="1" customWidth="1"/>
    <col min="8" max="8" width="3.54296875" style="73" bestFit="1" customWidth="1"/>
    <col min="9" max="9" width="12.81640625" style="73" customWidth="1"/>
    <col min="10" max="10" width="2.1796875" style="73" bestFit="1" customWidth="1"/>
    <col min="11" max="11" width="10.7265625" style="73" customWidth="1"/>
    <col min="12" max="12" width="3.453125" style="73" bestFit="1" customWidth="1"/>
    <col min="13" max="13" width="14.453125" style="73" customWidth="1"/>
    <col min="14" max="14" width="2.1796875" style="73" bestFit="1" customWidth="1"/>
    <col min="15" max="15" width="14.453125" style="73" customWidth="1"/>
    <col min="16" max="16" width="2.1796875" style="73" bestFit="1" customWidth="1"/>
    <col min="17" max="18" width="6" style="73" bestFit="1" customWidth="1"/>
    <col min="19" max="16384" width="9.1796875" style="73"/>
  </cols>
  <sheetData>
    <row r="1" spans="1:17" ht="41.25" customHeight="1">
      <c r="A1" s="115" t="s">
        <v>841</v>
      </c>
      <c r="B1" s="115"/>
      <c r="C1" s="115"/>
      <c r="D1" s="115"/>
      <c r="E1" s="115"/>
      <c r="F1" s="115"/>
      <c r="G1" s="115"/>
      <c r="H1" s="115"/>
      <c r="I1" s="115"/>
      <c r="J1" s="115"/>
      <c r="K1" s="115"/>
      <c r="L1" s="115"/>
      <c r="M1" s="115"/>
      <c r="N1" s="115"/>
      <c r="Q1" s="94" t="s">
        <v>201</v>
      </c>
    </row>
    <row r="2" spans="1:17" s="79" customFormat="1" ht="34.5" customHeight="1">
      <c r="A2" s="96" t="s">
        <v>309</v>
      </c>
      <c r="B2" s="80" t="s">
        <v>1</v>
      </c>
      <c r="C2" s="80" t="s">
        <v>320</v>
      </c>
      <c r="D2" s="80" t="s">
        <v>1</v>
      </c>
      <c r="E2" s="80" t="s">
        <v>42</v>
      </c>
      <c r="F2" s="80" t="s">
        <v>1</v>
      </c>
      <c r="G2" s="80" t="s">
        <v>39</v>
      </c>
      <c r="H2" s="80" t="s">
        <v>1</v>
      </c>
      <c r="I2" s="80" t="s">
        <v>542</v>
      </c>
      <c r="J2" s="80" t="s">
        <v>1</v>
      </c>
      <c r="K2" s="80" t="s">
        <v>543</v>
      </c>
      <c r="L2" s="80" t="s">
        <v>1</v>
      </c>
      <c r="M2" s="80" t="s">
        <v>544</v>
      </c>
      <c r="N2" s="80" t="s">
        <v>1</v>
      </c>
      <c r="O2" s="80" t="s">
        <v>547</v>
      </c>
      <c r="P2" s="80" t="s">
        <v>1</v>
      </c>
      <c r="Q2" s="80" t="s">
        <v>548</v>
      </c>
    </row>
    <row r="3" spans="1:17">
      <c r="A3" s="95">
        <v>2022</v>
      </c>
      <c r="C3" s="73">
        <v>5.2</v>
      </c>
      <c r="E3" s="73">
        <v>61</v>
      </c>
      <c r="F3" s="73" t="s">
        <v>41</v>
      </c>
      <c r="G3" s="73">
        <v>66.5</v>
      </c>
      <c r="H3" s="73" t="s">
        <v>53</v>
      </c>
      <c r="I3" s="73">
        <v>18.100000000000001</v>
      </c>
      <c r="K3" s="73">
        <v>10.4</v>
      </c>
      <c r="L3" s="73" t="s">
        <v>98</v>
      </c>
      <c r="M3" s="73">
        <v>8.5</v>
      </c>
      <c r="O3" s="73">
        <v>-0.5</v>
      </c>
      <c r="Q3" s="73">
        <v>169.2</v>
      </c>
    </row>
    <row r="4" spans="1:17">
      <c r="A4" s="95">
        <v>2021</v>
      </c>
      <c r="C4" s="73">
        <v>5.7</v>
      </c>
      <c r="E4" s="73">
        <v>54.8</v>
      </c>
      <c r="F4" s="73" t="s">
        <v>41</v>
      </c>
      <c r="G4" s="73">
        <v>72.8</v>
      </c>
      <c r="H4" s="73" t="s">
        <v>53</v>
      </c>
      <c r="I4" s="73">
        <v>18.399999999999999</v>
      </c>
      <c r="K4" s="73">
        <v>9.9</v>
      </c>
      <c r="L4" s="73" t="s">
        <v>98</v>
      </c>
      <c r="M4" s="73">
        <v>7.1</v>
      </c>
      <c r="O4" s="73">
        <v>2.1</v>
      </c>
      <c r="Q4" s="73">
        <v>170.7</v>
      </c>
    </row>
    <row r="5" spans="1:17">
      <c r="A5" s="95">
        <v>2020</v>
      </c>
      <c r="C5" s="73">
        <v>5.6</v>
      </c>
      <c r="E5" s="73">
        <v>51.1</v>
      </c>
      <c r="F5" s="73" t="s">
        <v>41</v>
      </c>
      <c r="G5" s="73">
        <v>69.400000000000006</v>
      </c>
      <c r="H5" s="73" t="s">
        <v>53</v>
      </c>
      <c r="I5" s="73">
        <v>17.7</v>
      </c>
      <c r="K5" s="73">
        <v>10.7</v>
      </c>
      <c r="L5" s="73" t="s">
        <v>98</v>
      </c>
      <c r="M5" s="73">
        <v>8.1999999999999993</v>
      </c>
      <c r="O5" s="73">
        <v>1.5</v>
      </c>
      <c r="Q5" s="73">
        <v>164.1</v>
      </c>
    </row>
    <row r="6" spans="1:17">
      <c r="A6" s="95">
        <v>2019</v>
      </c>
      <c r="C6" s="73">
        <v>6.1</v>
      </c>
      <c r="E6" s="73">
        <v>68.099999999999994</v>
      </c>
      <c r="F6" s="73" t="s">
        <v>41</v>
      </c>
      <c r="G6" s="73">
        <v>72.599999999999994</v>
      </c>
      <c r="H6" s="73" t="s">
        <v>53</v>
      </c>
      <c r="I6" s="73">
        <v>17</v>
      </c>
      <c r="K6" s="73">
        <v>12.1</v>
      </c>
      <c r="L6" s="73" t="s">
        <v>98</v>
      </c>
      <c r="M6" s="73">
        <v>7.1</v>
      </c>
      <c r="O6" s="73">
        <v>1.8</v>
      </c>
      <c r="Q6" s="73">
        <v>184.8</v>
      </c>
    </row>
    <row r="7" spans="1:17">
      <c r="A7" s="95">
        <v>2018</v>
      </c>
      <c r="C7" s="73">
        <v>8.6999999999999993</v>
      </c>
      <c r="E7" s="73">
        <v>68.900000000000006</v>
      </c>
      <c r="F7" s="73" t="s">
        <v>41</v>
      </c>
      <c r="G7" s="73">
        <v>74.8</v>
      </c>
      <c r="H7" s="73" t="s">
        <v>53</v>
      </c>
      <c r="I7" s="73">
        <v>16.100000000000001</v>
      </c>
      <c r="K7" s="73">
        <v>14.1</v>
      </c>
      <c r="L7" s="73" t="s">
        <v>98</v>
      </c>
      <c r="M7" s="73">
        <v>6.5</v>
      </c>
      <c r="O7" s="73">
        <v>1.7</v>
      </c>
      <c r="Q7" s="73">
        <v>190.5</v>
      </c>
    </row>
    <row r="8" spans="1:17">
      <c r="A8" s="97"/>
      <c r="B8" s="76"/>
      <c r="C8" s="76"/>
      <c r="D8" s="76"/>
      <c r="E8" s="76"/>
      <c r="F8" s="76"/>
      <c r="G8" s="76"/>
      <c r="H8" s="76"/>
      <c r="I8" s="76"/>
      <c r="J8" s="76"/>
      <c r="K8" s="76"/>
      <c r="L8" s="76"/>
      <c r="M8" s="76"/>
      <c r="N8" s="76"/>
      <c r="O8" s="76"/>
      <c r="P8" s="76"/>
      <c r="Q8" s="76"/>
    </row>
    <row r="10" spans="1:17">
      <c r="A10" s="73" t="s">
        <v>14</v>
      </c>
      <c r="B10" s="73" t="s">
        <v>15</v>
      </c>
    </row>
    <row r="11" spans="1:17">
      <c r="A11" s="73" t="s">
        <v>69</v>
      </c>
      <c r="B11" s="73" t="s">
        <v>545</v>
      </c>
    </row>
    <row r="12" spans="1:17" ht="30.75" customHeight="1">
      <c r="A12" s="73" t="s">
        <v>71</v>
      </c>
      <c r="B12" s="111" t="s">
        <v>801</v>
      </c>
      <c r="C12" s="111"/>
      <c r="D12" s="111"/>
      <c r="E12" s="111"/>
      <c r="F12" s="111"/>
      <c r="G12" s="111"/>
      <c r="H12" s="111"/>
      <c r="I12" s="111"/>
      <c r="J12" s="111"/>
      <c r="K12" s="111"/>
      <c r="L12" s="111"/>
      <c r="M12" s="111"/>
      <c r="N12" s="111"/>
      <c r="O12" s="111"/>
    </row>
    <row r="13" spans="1:17">
      <c r="A13" s="73" t="s">
        <v>118</v>
      </c>
      <c r="B13" s="73" t="s">
        <v>802</v>
      </c>
    </row>
    <row r="15" spans="1:17">
      <c r="A15" s="73" t="s">
        <v>549</v>
      </c>
    </row>
    <row r="18" spans="1:1">
      <c r="A18" s="77" t="str">
        <f>HYPERLINK("[UKMY 2023 PrintableV1.1 12_09_24.xlsx]Contents!A1","Return to contents page")</f>
        <v>Return to contents page</v>
      </c>
    </row>
    <row r="64" spans="5:5">
      <c r="E64" s="78"/>
    </row>
  </sheetData>
  <mergeCells count="2">
    <mergeCell ref="B12:O12"/>
    <mergeCell ref="A1:N1"/>
  </mergeCells>
  <pageMargins left="0.7" right="0.7" top="0.75" bottom="0.75" header="0.3" footer="0.3"/>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7B77-3BA6-41DA-862A-4BCB2A28EAC4}">
  <dimension ref="A1:M64"/>
  <sheetViews>
    <sheetView view="pageBreakPreview" zoomScaleNormal="100" zoomScaleSheetLayoutView="100" workbookViewId="0">
      <selection activeCell="B5" sqref="B5"/>
    </sheetView>
  </sheetViews>
  <sheetFormatPr defaultColWidth="9.1796875" defaultRowHeight="14"/>
  <cols>
    <col min="1" max="1" width="21.26953125" style="73" customWidth="1"/>
    <col min="2" max="2" width="26.26953125" style="73" bestFit="1" customWidth="1"/>
    <col min="3" max="3" width="15.26953125" style="73" bestFit="1" customWidth="1"/>
    <col min="4" max="4" width="2.1796875" style="73" bestFit="1" customWidth="1"/>
    <col min="5" max="5" width="6.1796875" style="73" bestFit="1" customWidth="1"/>
    <col min="6" max="6" width="2.1796875" style="73" bestFit="1" customWidth="1"/>
    <col min="7" max="7" width="6.1796875" style="73" bestFit="1" customWidth="1"/>
    <col min="8" max="8" width="2.1796875" style="73" bestFit="1" customWidth="1"/>
    <col min="9" max="9" width="6.1796875" style="73" bestFit="1" customWidth="1"/>
    <col min="10" max="10" width="2.1796875" style="73" bestFit="1" customWidth="1"/>
    <col min="11" max="11" width="6.1796875" style="73" bestFit="1" customWidth="1"/>
    <col min="12" max="12" width="2.1796875" style="73" bestFit="1" customWidth="1"/>
    <col min="13" max="13" width="8.453125" style="73" bestFit="1" customWidth="1"/>
    <col min="14" max="16384" width="9.1796875" style="73"/>
  </cols>
  <sheetData>
    <row r="1" spans="1:13" ht="15.5">
      <c r="A1" s="72" t="s">
        <v>550</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551</v>
      </c>
      <c r="C3" s="73" t="s">
        <v>829</v>
      </c>
      <c r="E3" s="73">
        <v>717</v>
      </c>
      <c r="G3" s="73">
        <v>654</v>
      </c>
      <c r="I3" s="73">
        <v>648</v>
      </c>
      <c r="K3" s="73">
        <v>570</v>
      </c>
      <c r="M3" s="75">
        <v>24100</v>
      </c>
    </row>
    <row r="4" spans="1:13">
      <c r="A4" s="73" t="s">
        <v>19</v>
      </c>
      <c r="B4" s="73" t="s">
        <v>551</v>
      </c>
      <c r="C4" s="73" t="s">
        <v>201</v>
      </c>
      <c r="E4" s="75">
        <v>2131</v>
      </c>
      <c r="G4" s="75">
        <v>1550</v>
      </c>
      <c r="I4" s="75">
        <v>1280</v>
      </c>
      <c r="K4" s="75">
        <v>1301</v>
      </c>
      <c r="M4" s="75">
        <v>629325</v>
      </c>
    </row>
    <row r="6" spans="1:13">
      <c r="A6" s="73" t="s">
        <v>20</v>
      </c>
      <c r="B6" s="73" t="s">
        <v>551</v>
      </c>
      <c r="C6" s="73" t="s">
        <v>829</v>
      </c>
      <c r="E6" s="73">
        <v>431</v>
      </c>
      <c r="G6" s="73">
        <v>323</v>
      </c>
      <c r="I6" s="73">
        <v>553</v>
      </c>
      <c r="K6" s="73">
        <v>510</v>
      </c>
      <c r="M6" s="73">
        <v>787</v>
      </c>
    </row>
    <row r="7" spans="1:13">
      <c r="A7" s="73" t="s">
        <v>20</v>
      </c>
      <c r="B7" s="73" t="s">
        <v>551</v>
      </c>
      <c r="C7" s="73" t="s">
        <v>201</v>
      </c>
      <c r="E7" s="73">
        <v>500</v>
      </c>
      <c r="G7" s="73">
        <v>304</v>
      </c>
      <c r="I7" s="73">
        <v>403</v>
      </c>
      <c r="K7" s="73">
        <v>585</v>
      </c>
      <c r="M7" s="73">
        <v>567</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9084-97AF-4FAE-BB23-950D9566DBBB}">
  <dimension ref="A1:M64"/>
  <sheetViews>
    <sheetView view="pageBreakPreview" zoomScaleNormal="100" zoomScaleSheetLayoutView="100" workbookViewId="0">
      <selection activeCell="A5" sqref="A5"/>
    </sheetView>
  </sheetViews>
  <sheetFormatPr defaultColWidth="9.1796875" defaultRowHeight="14"/>
  <cols>
    <col min="1" max="1" width="13.26953125" style="73" customWidth="1"/>
    <col min="2" max="2" width="46" style="73" bestFit="1" customWidth="1"/>
    <col min="3" max="3" width="15.26953125" style="73" bestFit="1" customWidth="1"/>
    <col min="4" max="4" width="2.1796875" style="73" bestFit="1" customWidth="1"/>
    <col min="5" max="5" width="6.1796875" style="73" bestFit="1" customWidth="1"/>
    <col min="6" max="6" width="2.1796875" style="73" bestFit="1" customWidth="1"/>
    <col min="7" max="7" width="6.1796875" style="73" bestFit="1" customWidth="1"/>
    <col min="8" max="8" width="2.1796875" style="73" bestFit="1" customWidth="1"/>
    <col min="9" max="9" width="6.1796875" style="73" bestFit="1" customWidth="1"/>
    <col min="10" max="10" width="2.1796875" style="73" bestFit="1" customWidth="1"/>
    <col min="11" max="11" width="6.1796875" style="73" bestFit="1" customWidth="1"/>
    <col min="12" max="12" width="2.1796875" style="73" bestFit="1" customWidth="1"/>
    <col min="13" max="13" width="8.453125" style="73" bestFit="1" customWidth="1"/>
    <col min="14" max="16384" width="9.1796875" style="73"/>
  </cols>
  <sheetData>
    <row r="1" spans="1:13" ht="15.5">
      <c r="A1" s="72" t="s">
        <v>552</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553</v>
      </c>
      <c r="C3" s="73" t="s">
        <v>829</v>
      </c>
      <c r="E3" s="73">
        <v>165</v>
      </c>
      <c r="G3" s="73">
        <v>82</v>
      </c>
      <c r="I3" s="73">
        <v>3</v>
      </c>
      <c r="K3" s="73">
        <v>19</v>
      </c>
      <c r="M3" s="75">
        <v>34887</v>
      </c>
    </row>
    <row r="4" spans="1:13">
      <c r="A4" s="73" t="s">
        <v>19</v>
      </c>
      <c r="B4" s="73" t="s">
        <v>553</v>
      </c>
      <c r="C4" s="73" t="s">
        <v>201</v>
      </c>
      <c r="E4" s="73">
        <v>426</v>
      </c>
      <c r="G4" s="73">
        <v>335</v>
      </c>
      <c r="I4" s="73">
        <v>0</v>
      </c>
      <c r="K4" s="73">
        <v>1</v>
      </c>
      <c r="M4" s="75">
        <v>361914</v>
      </c>
    </row>
    <row r="5" spans="1:13">
      <c r="A5" s="73" t="s">
        <v>19</v>
      </c>
      <c r="B5" s="73" t="s">
        <v>760</v>
      </c>
      <c r="C5" s="73" t="s">
        <v>829</v>
      </c>
      <c r="E5" s="73">
        <v>468</v>
      </c>
      <c r="G5" s="75">
        <v>1003</v>
      </c>
      <c r="I5" s="75">
        <v>1202</v>
      </c>
      <c r="K5" s="73">
        <v>513</v>
      </c>
      <c r="M5" s="75">
        <v>1155</v>
      </c>
    </row>
    <row r="6" spans="1:13">
      <c r="A6" s="73" t="s">
        <v>19</v>
      </c>
      <c r="B6" s="73" t="s">
        <v>760</v>
      </c>
      <c r="C6" s="73" t="s">
        <v>201</v>
      </c>
      <c r="E6" s="75">
        <v>2079</v>
      </c>
      <c r="G6" s="75">
        <v>2848</v>
      </c>
      <c r="I6" s="75">
        <v>4466</v>
      </c>
      <c r="K6" s="75">
        <v>1997</v>
      </c>
      <c r="M6" s="75">
        <v>6091</v>
      </c>
    </row>
    <row r="8" spans="1:13">
      <c r="A8" s="73" t="s">
        <v>20</v>
      </c>
      <c r="B8" s="73" t="s">
        <v>553</v>
      </c>
      <c r="C8" s="73" t="s">
        <v>829</v>
      </c>
      <c r="E8" s="73">
        <v>6</v>
      </c>
      <c r="G8" s="73">
        <v>1</v>
      </c>
      <c r="I8" s="73">
        <v>0</v>
      </c>
      <c r="K8" s="73">
        <v>0</v>
      </c>
      <c r="M8" s="73">
        <v>0</v>
      </c>
    </row>
    <row r="9" spans="1:13">
      <c r="A9" s="73" t="s">
        <v>20</v>
      </c>
      <c r="B9" s="73" t="s">
        <v>553</v>
      </c>
      <c r="C9" s="73" t="s">
        <v>201</v>
      </c>
      <c r="E9" s="73">
        <v>1</v>
      </c>
      <c r="G9" s="73">
        <v>0</v>
      </c>
      <c r="I9" s="73">
        <v>0</v>
      </c>
      <c r="K9" s="73">
        <v>0</v>
      </c>
      <c r="M9" s="73">
        <v>6</v>
      </c>
    </row>
    <row r="10" spans="1:13">
      <c r="A10" s="73" t="s">
        <v>20</v>
      </c>
      <c r="B10" s="73" t="s">
        <v>760</v>
      </c>
      <c r="C10" s="73" t="s">
        <v>829</v>
      </c>
      <c r="E10" s="75">
        <v>1600</v>
      </c>
      <c r="G10" s="73">
        <v>100</v>
      </c>
      <c r="I10" s="73">
        <v>191</v>
      </c>
      <c r="K10" s="73">
        <v>933</v>
      </c>
      <c r="M10" s="73">
        <v>180</v>
      </c>
    </row>
    <row r="11" spans="1:13">
      <c r="A11" s="73" t="s">
        <v>20</v>
      </c>
      <c r="B11" s="73" t="s">
        <v>760</v>
      </c>
      <c r="C11" s="73" t="s">
        <v>201</v>
      </c>
      <c r="E11" s="75">
        <v>6876</v>
      </c>
      <c r="G11" s="73">
        <v>226</v>
      </c>
      <c r="I11" s="73">
        <v>556</v>
      </c>
      <c r="K11" s="73">
        <v>835</v>
      </c>
      <c r="M11" s="73">
        <v>57</v>
      </c>
    </row>
    <row r="12" spans="1:13">
      <c r="A12" s="76"/>
      <c r="B12" s="76"/>
      <c r="C12" s="76"/>
      <c r="D12" s="76"/>
      <c r="E12" s="76"/>
      <c r="F12" s="76"/>
      <c r="G12" s="76"/>
      <c r="H12" s="76"/>
      <c r="I12" s="76"/>
      <c r="J12" s="76"/>
      <c r="K12" s="76"/>
      <c r="L12" s="76"/>
      <c r="M12" s="76"/>
    </row>
    <row r="15" spans="1:13">
      <c r="A15" s="77" t="str">
        <f>HYPERLINK("[UKMY 2023 PrintableV1.1 12_09_24.xlsx]Contents!A1","Return to contents page")</f>
        <v>Return to contents page</v>
      </c>
    </row>
    <row r="64" spans="5:5">
      <c r="E64" s="78"/>
    </row>
  </sheetData>
  <sortState xmlns:xlrd2="http://schemas.microsoft.com/office/spreadsheetml/2017/richdata2" ref="A3:M11">
    <sortCondition ref="A8:A11"/>
    <sortCondition ref="B8:B11"/>
  </sortState>
  <pageMargins left="0.7" right="0.7" top="0.75" bottom="0.75" header="0.3" footer="0.3"/>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5DF0-6E50-43D2-830B-F4B0E1FA28F9}">
  <dimension ref="A1:M64"/>
  <sheetViews>
    <sheetView view="pageBreakPreview" zoomScaleNormal="100" zoomScaleSheetLayoutView="100" workbookViewId="0">
      <selection activeCell="B7" sqref="B7"/>
    </sheetView>
  </sheetViews>
  <sheetFormatPr defaultColWidth="9.1796875" defaultRowHeight="14"/>
  <cols>
    <col min="1" max="1" width="23.1796875" style="73" customWidth="1"/>
    <col min="2" max="2" width="31.26953125" style="73" bestFit="1" customWidth="1"/>
    <col min="3" max="3" width="15.26953125" style="73" bestFit="1" customWidth="1"/>
    <col min="4" max="4" width="2.1796875" style="73" bestFit="1" customWidth="1"/>
    <col min="5" max="5" width="7.26953125" style="73" bestFit="1" customWidth="1"/>
    <col min="6" max="6" width="2.1796875" style="73" bestFit="1" customWidth="1"/>
    <col min="7" max="7" width="7.26953125" style="73" bestFit="1" customWidth="1"/>
    <col min="8" max="8" width="2.1796875" style="73" bestFit="1" customWidth="1"/>
    <col min="9" max="9" width="7.26953125" style="73" bestFit="1" customWidth="1"/>
    <col min="10" max="10" width="2.1796875"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554</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555</v>
      </c>
      <c r="C3" s="73" t="s">
        <v>829</v>
      </c>
      <c r="E3" s="75">
        <v>16384</v>
      </c>
      <c r="G3" s="75">
        <v>22300</v>
      </c>
      <c r="I3" s="75">
        <v>20704</v>
      </c>
      <c r="K3" s="75">
        <v>41937</v>
      </c>
      <c r="M3" s="75">
        <v>46067</v>
      </c>
    </row>
    <row r="4" spans="1:13">
      <c r="A4" s="73" t="s">
        <v>19</v>
      </c>
      <c r="B4" s="73" t="s">
        <v>555</v>
      </c>
      <c r="C4" s="73" t="s">
        <v>201</v>
      </c>
      <c r="E4" s="75">
        <v>20011</v>
      </c>
      <c r="G4" s="75">
        <v>22002</v>
      </c>
      <c r="I4" s="75">
        <v>21077</v>
      </c>
      <c r="K4" s="75">
        <v>38673</v>
      </c>
      <c r="M4" s="75">
        <v>49208</v>
      </c>
    </row>
    <row r="5" spans="1:13">
      <c r="A5" s="73" t="s">
        <v>19</v>
      </c>
      <c r="B5" s="73" t="s">
        <v>556</v>
      </c>
      <c r="C5" s="73" t="s">
        <v>829</v>
      </c>
      <c r="E5" s="73">
        <v>209</v>
      </c>
      <c r="G5" s="73">
        <v>296</v>
      </c>
      <c r="I5" s="73">
        <v>568</v>
      </c>
      <c r="K5" s="73">
        <v>551</v>
      </c>
      <c r="M5" s="73">
        <v>642</v>
      </c>
    </row>
    <row r="6" spans="1:13">
      <c r="A6" s="73" t="s">
        <v>19</v>
      </c>
      <c r="B6" s="73" t="s">
        <v>556</v>
      </c>
      <c r="C6" s="73" t="s">
        <v>201</v>
      </c>
      <c r="E6" s="75">
        <v>3921</v>
      </c>
      <c r="G6" s="75">
        <v>4471</v>
      </c>
      <c r="I6" s="75">
        <v>4527</v>
      </c>
      <c r="K6" s="75">
        <v>2858</v>
      </c>
      <c r="M6" s="73">
        <v>424</v>
      </c>
    </row>
    <row r="8" spans="1:13">
      <c r="A8" s="73" t="s">
        <v>20</v>
      </c>
      <c r="B8" s="73" t="s">
        <v>555</v>
      </c>
      <c r="C8" s="73" t="s">
        <v>829</v>
      </c>
      <c r="E8" s="73">
        <v>895</v>
      </c>
      <c r="G8" s="75">
        <v>1119</v>
      </c>
      <c r="I8" s="73">
        <v>860</v>
      </c>
      <c r="K8" s="75">
        <v>1023</v>
      </c>
      <c r="M8" s="75">
        <v>1795</v>
      </c>
    </row>
    <row r="9" spans="1:13">
      <c r="A9" s="73" t="s">
        <v>20</v>
      </c>
      <c r="B9" s="73" t="s">
        <v>555</v>
      </c>
      <c r="C9" s="73" t="s">
        <v>201</v>
      </c>
      <c r="E9" s="73">
        <v>928</v>
      </c>
      <c r="G9" s="73">
        <v>696</v>
      </c>
      <c r="I9" s="75">
        <v>3499</v>
      </c>
      <c r="K9" s="75">
        <v>2476</v>
      </c>
      <c r="M9" s="75">
        <v>4221</v>
      </c>
    </row>
    <row r="10" spans="1:13">
      <c r="A10" s="73" t="s">
        <v>20</v>
      </c>
      <c r="B10" s="73" t="s">
        <v>556</v>
      </c>
      <c r="C10" s="73" t="s">
        <v>829</v>
      </c>
      <c r="E10" s="73">
        <v>414</v>
      </c>
      <c r="G10" s="73">
        <v>128</v>
      </c>
      <c r="I10" s="73">
        <v>25</v>
      </c>
      <c r="K10" s="73">
        <v>121</v>
      </c>
      <c r="M10" s="73">
        <v>140</v>
      </c>
    </row>
    <row r="11" spans="1:13">
      <c r="A11" s="73" t="s">
        <v>20</v>
      </c>
      <c r="B11" s="73" t="s">
        <v>556</v>
      </c>
      <c r="C11" s="73" t="s">
        <v>201</v>
      </c>
      <c r="E11" s="73">
        <v>20</v>
      </c>
      <c r="G11" s="73">
        <v>11</v>
      </c>
      <c r="I11" s="73">
        <v>5</v>
      </c>
      <c r="K11" s="73">
        <v>17</v>
      </c>
      <c r="M11" s="73">
        <v>31</v>
      </c>
    </row>
    <row r="12" spans="1:13">
      <c r="A12" s="76"/>
      <c r="B12" s="76"/>
      <c r="C12" s="76"/>
      <c r="D12" s="76"/>
      <c r="E12" s="76"/>
      <c r="F12" s="76"/>
      <c r="G12" s="76"/>
      <c r="H12" s="76"/>
      <c r="I12" s="76"/>
      <c r="J12" s="76"/>
      <c r="K12" s="76"/>
      <c r="L12" s="76"/>
      <c r="M12" s="76"/>
    </row>
    <row r="15" spans="1:13">
      <c r="A15" s="77" t="str">
        <f>HYPERLINK("[UKMY 2023 PrintableV1.1 12_09_24.xlsx]Contents!A1","Return to contents page")</f>
        <v>Return to contents page</v>
      </c>
    </row>
    <row r="64" spans="5:5">
      <c r="E64" s="78"/>
    </row>
  </sheetData>
  <sortState xmlns:xlrd2="http://schemas.microsoft.com/office/spreadsheetml/2017/richdata2" ref="A3:M11">
    <sortCondition ref="A8:A11"/>
    <sortCondition ref="B8:B11"/>
  </sortState>
  <pageMargins left="0.7" right="0.7" top="0.75" bottom="0.75" header="0.3" footer="0.3"/>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746B2-38DF-4270-BFD8-EB1023D34E1B}">
  <dimension ref="A1:M64"/>
  <sheetViews>
    <sheetView view="pageBreakPreview" zoomScaleNormal="100" zoomScaleSheetLayoutView="100" workbookViewId="0">
      <selection activeCell="B4" sqref="B4"/>
    </sheetView>
  </sheetViews>
  <sheetFormatPr defaultColWidth="9.1796875" defaultRowHeight="14"/>
  <cols>
    <col min="1" max="1" width="19.26953125" style="73" customWidth="1"/>
    <col min="2" max="2" width="45.26953125" style="79" bestFit="1" customWidth="1"/>
    <col min="3" max="3" width="14.54296875" style="73" bestFit="1" customWidth="1"/>
    <col min="4" max="4" width="2.1796875" style="73" bestFit="1" customWidth="1"/>
    <col min="5" max="5" width="8.453125" style="73" bestFit="1" customWidth="1"/>
    <col min="6" max="6" width="2.1796875" style="73" bestFit="1" customWidth="1"/>
    <col min="7" max="7" width="8.453125" style="73" bestFit="1" customWidth="1"/>
    <col min="8" max="8" width="2.1796875" style="73" bestFit="1" customWidth="1"/>
    <col min="9" max="9" width="8.453125" style="73" bestFit="1" customWidth="1"/>
    <col min="10" max="10" width="2.1796875" style="73" bestFit="1" customWidth="1"/>
    <col min="11" max="11" width="7.26953125" style="73" bestFit="1" customWidth="1"/>
    <col min="12" max="12" width="2.1796875" style="73" bestFit="1" customWidth="1"/>
    <col min="13" max="13" width="7.26953125" style="73" bestFit="1" customWidth="1"/>
    <col min="14" max="16384" width="9.1796875" style="73"/>
  </cols>
  <sheetData>
    <row r="1" spans="1:13" ht="15.5">
      <c r="A1" s="72" t="s">
        <v>557</v>
      </c>
    </row>
    <row r="2" spans="1:13">
      <c r="A2" s="74" t="s">
        <v>670</v>
      </c>
      <c r="B2" s="80" t="s">
        <v>0</v>
      </c>
      <c r="C2" s="74" t="s">
        <v>669</v>
      </c>
      <c r="D2" s="74" t="s">
        <v>1</v>
      </c>
      <c r="E2" s="74">
        <v>2018</v>
      </c>
      <c r="F2" s="74" t="s">
        <v>1</v>
      </c>
      <c r="G2" s="74">
        <v>2019</v>
      </c>
      <c r="H2" s="74" t="s">
        <v>1</v>
      </c>
      <c r="I2" s="74">
        <v>2020</v>
      </c>
      <c r="J2" s="74" t="s">
        <v>1</v>
      </c>
      <c r="K2" s="74">
        <v>2021</v>
      </c>
      <c r="L2" s="74" t="s">
        <v>1</v>
      </c>
      <c r="M2" s="74">
        <v>2022</v>
      </c>
    </row>
    <row r="3" spans="1:13" ht="42">
      <c r="A3" s="73" t="s">
        <v>19</v>
      </c>
      <c r="B3" s="79" t="s">
        <v>759</v>
      </c>
      <c r="C3" s="73" t="s">
        <v>829</v>
      </c>
      <c r="E3" s="75">
        <v>307981</v>
      </c>
      <c r="G3" s="75">
        <v>294606</v>
      </c>
      <c r="I3" s="75">
        <v>210895</v>
      </c>
      <c r="K3" s="75">
        <v>59726</v>
      </c>
      <c r="M3" s="75">
        <v>74084</v>
      </c>
    </row>
    <row r="4" spans="1:13" ht="42">
      <c r="A4" s="73" t="s">
        <v>19</v>
      </c>
      <c r="B4" s="79" t="s">
        <v>759</v>
      </c>
      <c r="C4" s="73" t="s">
        <v>201</v>
      </c>
    </row>
    <row r="6" spans="1:13" ht="42">
      <c r="A6" s="73" t="s">
        <v>20</v>
      </c>
      <c r="B6" s="79" t="s">
        <v>759</v>
      </c>
      <c r="C6" s="73" t="s">
        <v>829</v>
      </c>
      <c r="E6" s="75">
        <v>239944</v>
      </c>
      <c r="G6" s="75">
        <v>277540</v>
      </c>
      <c r="I6" s="75">
        <v>172128</v>
      </c>
      <c r="K6" s="75">
        <v>22600</v>
      </c>
      <c r="M6" s="75">
        <v>31277</v>
      </c>
    </row>
    <row r="7" spans="1:13" ht="42">
      <c r="A7" s="73" t="s">
        <v>20</v>
      </c>
      <c r="B7" s="79" t="s">
        <v>759</v>
      </c>
      <c r="C7" s="73" t="s">
        <v>201</v>
      </c>
    </row>
    <row r="8" spans="1:13">
      <c r="A8" s="76"/>
      <c r="B8" s="81"/>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9727-A901-45B6-B688-C91C29B1EF1D}">
  <dimension ref="A1:M64"/>
  <sheetViews>
    <sheetView view="pageBreakPreview" zoomScaleNormal="100" zoomScaleSheetLayoutView="100" workbookViewId="0">
      <selection activeCell="B5" sqref="B5"/>
    </sheetView>
  </sheetViews>
  <sheetFormatPr defaultColWidth="9.1796875" defaultRowHeight="14"/>
  <cols>
    <col min="1" max="1" width="14.1796875" style="73" customWidth="1"/>
    <col min="2" max="2" width="51.26953125" style="73" bestFit="1" customWidth="1"/>
    <col min="3" max="3" width="15.26953125" style="73" bestFit="1" customWidth="1"/>
    <col min="4" max="4" width="3.453125" style="73" bestFit="1" customWidth="1"/>
    <col min="5" max="5" width="7.26953125" style="73" bestFit="1" customWidth="1"/>
    <col min="6" max="6" width="3.453125" style="73" bestFit="1" customWidth="1"/>
    <col min="7" max="7" width="6.1796875" style="73" bestFit="1" customWidth="1"/>
    <col min="8" max="8" width="3.453125" style="73" bestFit="1" customWidth="1"/>
    <col min="9" max="9" width="6.1796875" style="73" bestFit="1" customWidth="1"/>
    <col min="10" max="10" width="3.453125" style="73" bestFit="1" customWidth="1"/>
    <col min="11" max="11" width="6.1796875" style="73" bestFit="1" customWidth="1"/>
    <col min="12" max="12" width="3.453125" style="73" bestFit="1" customWidth="1"/>
    <col min="13" max="13" width="6.1796875" style="73" bestFit="1" customWidth="1"/>
    <col min="14" max="16384" width="9.1796875" style="73"/>
  </cols>
  <sheetData>
    <row r="1" spans="1:13" ht="15.5">
      <c r="A1" s="72" t="s">
        <v>558</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559</v>
      </c>
      <c r="C3" s="73" t="s">
        <v>829</v>
      </c>
      <c r="E3" s="75">
        <v>3367</v>
      </c>
      <c r="G3" s="75">
        <v>9427</v>
      </c>
      <c r="I3" s="75">
        <v>1165</v>
      </c>
      <c r="K3" s="75">
        <v>3259</v>
      </c>
      <c r="M3" s="75">
        <v>1476</v>
      </c>
    </row>
    <row r="4" spans="1:13">
      <c r="A4" s="73" t="s">
        <v>19</v>
      </c>
      <c r="B4" s="73" t="s">
        <v>559</v>
      </c>
      <c r="C4" s="73" t="s">
        <v>201</v>
      </c>
      <c r="E4" s="73">
        <v>437</v>
      </c>
      <c r="G4" s="73">
        <v>563</v>
      </c>
      <c r="I4" s="73">
        <v>108</v>
      </c>
      <c r="K4" s="73">
        <v>322</v>
      </c>
      <c r="M4" s="73">
        <v>386</v>
      </c>
    </row>
    <row r="5" spans="1:13">
      <c r="A5" s="73" t="s">
        <v>19</v>
      </c>
      <c r="B5" s="73" t="s">
        <v>560</v>
      </c>
      <c r="C5" s="73" t="s">
        <v>829</v>
      </c>
      <c r="E5" s="73">
        <v>35</v>
      </c>
      <c r="G5" s="73">
        <v>102</v>
      </c>
      <c r="I5" s="73">
        <v>181</v>
      </c>
      <c r="K5" s="73">
        <v>164</v>
      </c>
      <c r="M5" s="73">
        <v>178</v>
      </c>
    </row>
    <row r="6" spans="1:13">
      <c r="A6" s="73" t="s">
        <v>19</v>
      </c>
      <c r="B6" s="73" t="s">
        <v>560</v>
      </c>
      <c r="C6" s="73" t="s">
        <v>201</v>
      </c>
      <c r="E6" s="73">
        <v>1</v>
      </c>
      <c r="G6" s="73">
        <v>4</v>
      </c>
      <c r="I6" s="73">
        <v>27</v>
      </c>
      <c r="K6" s="73">
        <v>10</v>
      </c>
      <c r="M6" s="73">
        <v>28</v>
      </c>
    </row>
    <row r="7" spans="1:13">
      <c r="A7" s="73" t="s">
        <v>19</v>
      </c>
      <c r="B7" s="73" t="s">
        <v>561</v>
      </c>
      <c r="C7" s="73" t="s">
        <v>829</v>
      </c>
      <c r="D7" s="73" t="s">
        <v>205</v>
      </c>
      <c r="E7" s="73">
        <v>14</v>
      </c>
      <c r="F7" s="73" t="s">
        <v>205</v>
      </c>
      <c r="G7" s="73">
        <v>28</v>
      </c>
      <c r="H7" s="73" t="s">
        <v>205</v>
      </c>
      <c r="I7" s="73">
        <v>7</v>
      </c>
      <c r="J7" s="73" t="s">
        <v>205</v>
      </c>
      <c r="K7" s="73">
        <v>72</v>
      </c>
      <c r="L7" s="73" t="s">
        <v>205</v>
      </c>
      <c r="M7" s="73">
        <v>828</v>
      </c>
    </row>
    <row r="8" spans="1:13">
      <c r="A8" s="73" t="s">
        <v>19</v>
      </c>
      <c r="B8" s="73" t="s">
        <v>561</v>
      </c>
      <c r="C8" s="73" t="s">
        <v>201</v>
      </c>
      <c r="D8" s="73" t="s">
        <v>205</v>
      </c>
      <c r="E8" s="73">
        <v>0</v>
      </c>
      <c r="F8" s="73" t="s">
        <v>205</v>
      </c>
      <c r="G8" s="73">
        <v>0</v>
      </c>
      <c r="H8" s="73" t="s">
        <v>205</v>
      </c>
      <c r="I8" s="73">
        <v>0</v>
      </c>
      <c r="J8" s="73" t="s">
        <v>205</v>
      </c>
      <c r="K8" s="73">
        <v>3</v>
      </c>
      <c r="L8" s="73" t="s">
        <v>205</v>
      </c>
      <c r="M8" s="73">
        <v>25</v>
      </c>
    </row>
    <row r="9" spans="1:13">
      <c r="A9" s="73" t="s">
        <v>19</v>
      </c>
      <c r="B9" s="73" t="s">
        <v>562</v>
      </c>
      <c r="C9" s="73" t="s">
        <v>829</v>
      </c>
      <c r="D9" s="73" t="s">
        <v>209</v>
      </c>
      <c r="E9" s="75">
        <v>13596</v>
      </c>
      <c r="F9" s="73" t="s">
        <v>209</v>
      </c>
      <c r="G9" s="75">
        <v>9427</v>
      </c>
      <c r="H9" s="73" t="s">
        <v>209</v>
      </c>
      <c r="I9" s="75">
        <v>7356</v>
      </c>
      <c r="J9" s="73" t="s">
        <v>209</v>
      </c>
      <c r="K9" s="75">
        <v>3716</v>
      </c>
      <c r="L9" s="73" t="s">
        <v>209</v>
      </c>
      <c r="M9" s="75">
        <v>7440</v>
      </c>
    </row>
    <row r="10" spans="1:13">
      <c r="A10" s="73" t="s">
        <v>19</v>
      </c>
      <c r="B10" s="73" t="s">
        <v>562</v>
      </c>
      <c r="C10" s="73" t="s">
        <v>201</v>
      </c>
      <c r="D10" s="73" t="s">
        <v>209</v>
      </c>
      <c r="E10" s="73">
        <v>499</v>
      </c>
      <c r="F10" s="73" t="s">
        <v>209</v>
      </c>
      <c r="G10" s="73">
        <v>563</v>
      </c>
      <c r="H10" s="73" t="s">
        <v>209</v>
      </c>
      <c r="I10" s="73">
        <v>334</v>
      </c>
      <c r="J10" s="73" t="s">
        <v>209</v>
      </c>
      <c r="K10" s="73">
        <v>184</v>
      </c>
      <c r="L10" s="73" t="s">
        <v>209</v>
      </c>
      <c r="M10" s="73">
        <v>255</v>
      </c>
    </row>
    <row r="12" spans="1:13">
      <c r="A12" s="73" t="s">
        <v>20</v>
      </c>
      <c r="B12" s="73" t="s">
        <v>559</v>
      </c>
      <c r="C12" s="73" t="s">
        <v>829</v>
      </c>
      <c r="E12" s="75">
        <v>2292</v>
      </c>
      <c r="G12" s="75">
        <v>1736</v>
      </c>
      <c r="I12" s="75">
        <v>1263</v>
      </c>
      <c r="K12" s="75">
        <v>3694</v>
      </c>
      <c r="M12" s="75">
        <v>3302</v>
      </c>
    </row>
    <row r="13" spans="1:13">
      <c r="A13" s="73" t="s">
        <v>20</v>
      </c>
      <c r="B13" s="73" t="s">
        <v>559</v>
      </c>
      <c r="C13" s="73" t="s">
        <v>201</v>
      </c>
      <c r="E13" s="73">
        <v>151</v>
      </c>
      <c r="G13" s="73">
        <v>36</v>
      </c>
      <c r="I13" s="73">
        <v>38</v>
      </c>
      <c r="K13" s="73">
        <v>112</v>
      </c>
      <c r="M13" s="73">
        <v>102</v>
      </c>
    </row>
    <row r="14" spans="1:13">
      <c r="A14" s="73" t="s">
        <v>20</v>
      </c>
      <c r="B14" s="73" t="s">
        <v>560</v>
      </c>
      <c r="C14" s="73" t="s">
        <v>829</v>
      </c>
      <c r="E14" s="73">
        <v>302</v>
      </c>
      <c r="G14" s="73">
        <v>282</v>
      </c>
      <c r="I14" s="73">
        <v>178</v>
      </c>
      <c r="K14" s="73">
        <v>25</v>
      </c>
      <c r="M14" s="73">
        <v>77</v>
      </c>
    </row>
    <row r="15" spans="1:13">
      <c r="A15" s="73" t="s">
        <v>20</v>
      </c>
      <c r="B15" s="73" t="s">
        <v>560</v>
      </c>
      <c r="C15" s="73" t="s">
        <v>201</v>
      </c>
      <c r="E15" s="73">
        <v>50</v>
      </c>
      <c r="G15" s="73">
        <v>45</v>
      </c>
      <c r="I15" s="73">
        <v>10</v>
      </c>
      <c r="K15" s="73">
        <v>1</v>
      </c>
      <c r="M15" s="73">
        <v>21</v>
      </c>
    </row>
    <row r="16" spans="1:13">
      <c r="A16" s="73" t="s">
        <v>20</v>
      </c>
      <c r="B16" s="73" t="s">
        <v>561</v>
      </c>
      <c r="C16" s="73" t="s">
        <v>829</v>
      </c>
      <c r="D16" s="73" t="s">
        <v>205</v>
      </c>
      <c r="E16" s="73">
        <v>374</v>
      </c>
      <c r="F16" s="73" t="s">
        <v>205</v>
      </c>
      <c r="G16" s="73">
        <v>231</v>
      </c>
      <c r="H16" s="73" t="s">
        <v>205</v>
      </c>
      <c r="I16" s="73">
        <v>253</v>
      </c>
      <c r="J16" s="73" t="s">
        <v>205</v>
      </c>
      <c r="K16" s="73">
        <v>295</v>
      </c>
      <c r="L16" s="73" t="s">
        <v>205</v>
      </c>
      <c r="M16" s="73">
        <v>173</v>
      </c>
    </row>
    <row r="17" spans="1:13">
      <c r="A17" s="73" t="s">
        <v>20</v>
      </c>
      <c r="B17" s="73" t="s">
        <v>561</v>
      </c>
      <c r="C17" s="73" t="s">
        <v>201</v>
      </c>
      <c r="D17" s="73" t="s">
        <v>205</v>
      </c>
      <c r="E17" s="73">
        <v>12</v>
      </c>
      <c r="F17" s="73" t="s">
        <v>205</v>
      </c>
      <c r="G17" s="73">
        <v>10</v>
      </c>
      <c r="H17" s="73" t="s">
        <v>205</v>
      </c>
      <c r="I17" s="73">
        <v>8</v>
      </c>
      <c r="J17" s="73" t="s">
        <v>205</v>
      </c>
      <c r="K17" s="73">
        <v>5</v>
      </c>
      <c r="L17" s="73" t="s">
        <v>205</v>
      </c>
      <c r="M17" s="73">
        <v>2</v>
      </c>
    </row>
    <row r="18" spans="1:13">
      <c r="A18" s="73" t="s">
        <v>20</v>
      </c>
      <c r="B18" s="73" t="s">
        <v>562</v>
      </c>
      <c r="C18" s="73" t="s">
        <v>829</v>
      </c>
      <c r="D18" s="73" t="s">
        <v>209</v>
      </c>
      <c r="E18" s="75">
        <v>9308</v>
      </c>
      <c r="F18" s="73" t="s">
        <v>209</v>
      </c>
      <c r="G18" s="75">
        <v>4484</v>
      </c>
      <c r="H18" s="73" t="s">
        <v>209</v>
      </c>
      <c r="I18" s="75">
        <v>1494</v>
      </c>
      <c r="J18" s="73" t="s">
        <v>209</v>
      </c>
      <c r="K18" s="75">
        <v>1363</v>
      </c>
      <c r="L18" s="73" t="s">
        <v>209</v>
      </c>
      <c r="M18" s="75">
        <v>1838</v>
      </c>
    </row>
    <row r="19" spans="1:13">
      <c r="A19" s="73" t="s">
        <v>20</v>
      </c>
      <c r="B19" s="73" t="s">
        <v>562</v>
      </c>
      <c r="C19" s="73" t="s">
        <v>201</v>
      </c>
      <c r="D19" s="73" t="s">
        <v>209</v>
      </c>
      <c r="E19" s="73">
        <v>356</v>
      </c>
      <c r="F19" s="73" t="s">
        <v>209</v>
      </c>
      <c r="G19" s="73">
        <v>218</v>
      </c>
      <c r="H19" s="73" t="s">
        <v>209</v>
      </c>
      <c r="I19" s="73">
        <v>104</v>
      </c>
      <c r="J19" s="73" t="s">
        <v>209</v>
      </c>
      <c r="K19" s="73">
        <v>61</v>
      </c>
      <c r="L19" s="73" t="s">
        <v>209</v>
      </c>
      <c r="M19" s="73">
        <v>69</v>
      </c>
    </row>
    <row r="20" spans="1:13">
      <c r="A20" s="76"/>
      <c r="B20" s="76"/>
      <c r="C20" s="76"/>
      <c r="D20" s="76"/>
      <c r="E20" s="76"/>
      <c r="F20" s="76"/>
      <c r="G20" s="76"/>
      <c r="H20" s="76"/>
      <c r="I20" s="76"/>
      <c r="J20" s="76"/>
      <c r="K20" s="76"/>
      <c r="L20" s="76"/>
      <c r="M20" s="76"/>
    </row>
    <row r="22" spans="1:13">
      <c r="A22" s="73" t="s">
        <v>14</v>
      </c>
      <c r="B22" s="73" t="s">
        <v>15</v>
      </c>
    </row>
    <row r="23" spans="1:13">
      <c r="A23" s="73" t="s">
        <v>214</v>
      </c>
      <c r="B23" s="73" t="s">
        <v>703</v>
      </c>
    </row>
    <row r="24" spans="1:13">
      <c r="A24" s="73" t="s">
        <v>215</v>
      </c>
      <c r="B24" s="73" t="s">
        <v>704</v>
      </c>
    </row>
    <row r="27" spans="1:13">
      <c r="A27" s="77" t="str">
        <f>HYPERLINK("[UKMY 2023 PrintableV1.1 12_09_24.xlsx]Contents!A1","Return to contents page")</f>
        <v>Return to contents page</v>
      </c>
    </row>
    <row r="64" spans="5:5">
      <c r="E64" s="78"/>
    </row>
  </sheetData>
  <sortState xmlns:xlrd2="http://schemas.microsoft.com/office/spreadsheetml/2017/richdata2" ref="A3:M19">
    <sortCondition ref="A12:A19"/>
    <sortCondition ref="B12:B19"/>
  </sortState>
  <pageMargins left="0.7" right="0.7" top="0.75" bottom="0.75" header="0.3" footer="0.3"/>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D990-143A-4187-9B83-455E5E70FF8A}">
  <dimension ref="A1:M64"/>
  <sheetViews>
    <sheetView view="pageBreakPreview" zoomScaleNormal="100" zoomScaleSheetLayoutView="100" workbookViewId="0">
      <selection activeCell="B4" sqref="B4"/>
    </sheetView>
  </sheetViews>
  <sheetFormatPr defaultColWidth="9.1796875" defaultRowHeight="14"/>
  <cols>
    <col min="1" max="1" width="21.54296875" style="73" customWidth="1"/>
    <col min="2" max="2" width="26.26953125" style="73" bestFit="1" customWidth="1"/>
    <col min="3" max="3" width="14.54296875" style="73" bestFit="1" customWidth="1"/>
    <col min="4" max="4" width="2.1796875" style="73" bestFit="1" customWidth="1"/>
    <col min="5" max="5" width="10.1796875" style="73" bestFit="1" customWidth="1"/>
    <col min="6" max="6" width="2.1796875" style="73" bestFit="1" customWidth="1"/>
    <col min="7" max="7" width="10.1796875" style="73" bestFit="1" customWidth="1"/>
    <col min="8" max="8" width="2.1796875" style="73" bestFit="1" customWidth="1"/>
    <col min="9" max="9" width="10.1796875" style="73" bestFit="1" customWidth="1"/>
    <col min="10" max="10" width="2.1796875" style="73" bestFit="1" customWidth="1"/>
    <col min="11" max="11" width="10.1796875" style="73" bestFit="1" customWidth="1"/>
    <col min="12" max="12" width="2.1796875" style="73" bestFit="1" customWidth="1"/>
    <col min="13" max="13" width="10.1796875" style="73" bestFit="1" customWidth="1"/>
    <col min="14" max="16384" width="9.1796875" style="73"/>
  </cols>
  <sheetData>
    <row r="1" spans="1:13" ht="15.5">
      <c r="A1" s="72" t="s">
        <v>563</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57</v>
      </c>
      <c r="C3" s="73" t="s">
        <v>201</v>
      </c>
      <c r="E3" s="75">
        <v>3430266</v>
      </c>
      <c r="G3" s="75">
        <v>2377765</v>
      </c>
      <c r="I3" s="75">
        <v>2327965</v>
      </c>
      <c r="K3" s="75">
        <v>2687483</v>
      </c>
      <c r="M3" s="75">
        <v>2587790</v>
      </c>
    </row>
    <row r="5" spans="1:13">
      <c r="A5" s="73" t="s">
        <v>19</v>
      </c>
      <c r="B5" s="73" t="s">
        <v>57</v>
      </c>
      <c r="C5" s="73" t="s">
        <v>829</v>
      </c>
      <c r="E5" s="75">
        <v>76796</v>
      </c>
      <c r="G5" s="75">
        <v>73409</v>
      </c>
      <c r="I5" s="75">
        <v>72424</v>
      </c>
      <c r="K5" s="75">
        <v>69064</v>
      </c>
      <c r="M5" s="75">
        <v>90906</v>
      </c>
    </row>
    <row r="6" spans="1:13">
      <c r="A6" s="73" t="s">
        <v>19</v>
      </c>
      <c r="B6" s="73" t="s">
        <v>57</v>
      </c>
      <c r="C6" s="73" t="s">
        <v>201</v>
      </c>
      <c r="E6" s="75">
        <v>1129652</v>
      </c>
      <c r="G6" s="75">
        <v>856464</v>
      </c>
      <c r="I6" s="75">
        <v>612494</v>
      </c>
      <c r="K6" s="75">
        <v>981436</v>
      </c>
      <c r="M6" s="75">
        <v>1631620</v>
      </c>
    </row>
    <row r="8" spans="1:13">
      <c r="A8" s="73" t="s">
        <v>20</v>
      </c>
      <c r="B8" s="73" t="s">
        <v>57</v>
      </c>
      <c r="C8" s="73" t="s">
        <v>829</v>
      </c>
      <c r="E8" s="75">
        <v>60078</v>
      </c>
      <c r="G8" s="75">
        <v>52001</v>
      </c>
      <c r="I8" s="75">
        <v>54811</v>
      </c>
      <c r="K8" s="75">
        <v>51413</v>
      </c>
      <c r="M8" s="75">
        <v>76701</v>
      </c>
    </row>
    <row r="9" spans="1:13">
      <c r="A9" s="73" t="s">
        <v>20</v>
      </c>
      <c r="B9" s="73" t="s">
        <v>57</v>
      </c>
      <c r="C9" s="73" t="s">
        <v>201</v>
      </c>
      <c r="E9" s="75">
        <v>366935</v>
      </c>
      <c r="G9" s="75">
        <v>273285</v>
      </c>
      <c r="I9" s="75">
        <v>374671</v>
      </c>
      <c r="K9" s="75">
        <v>193582</v>
      </c>
      <c r="M9" s="75">
        <v>374703</v>
      </c>
    </row>
    <row r="10" spans="1:13">
      <c r="A10" s="76"/>
      <c r="B10" s="76"/>
      <c r="C10" s="76"/>
      <c r="D10" s="76"/>
      <c r="E10" s="76"/>
      <c r="F10" s="76"/>
      <c r="G10" s="76"/>
      <c r="H10" s="76"/>
      <c r="I10" s="76"/>
      <c r="J10" s="76"/>
      <c r="K10" s="76"/>
      <c r="L10" s="76"/>
      <c r="M10" s="76"/>
    </row>
    <row r="12" spans="1:13">
      <c r="A12" s="73" t="s">
        <v>803</v>
      </c>
    </row>
    <row r="15" spans="1:13">
      <c r="A15"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436C-3857-432C-A5C5-7C7BEF73173A}">
  <dimension ref="A1:K64"/>
  <sheetViews>
    <sheetView view="pageBreakPreview" topLeftCell="A40" zoomScaleNormal="100" zoomScaleSheetLayoutView="100" workbookViewId="0">
      <selection activeCell="A60" sqref="A60"/>
    </sheetView>
  </sheetViews>
  <sheetFormatPr defaultColWidth="9.1796875" defaultRowHeight="14"/>
  <cols>
    <col min="1" max="1" width="31.7265625" style="13" customWidth="1"/>
    <col min="2" max="2" width="9.7265625" style="13" customWidth="1"/>
    <col min="3" max="12" width="9.453125" style="13" bestFit="1" customWidth="1"/>
    <col min="13" max="13" width="10.453125" style="13" bestFit="1" customWidth="1"/>
    <col min="14" max="16384" width="9.1796875" style="13"/>
  </cols>
  <sheetData>
    <row r="1" spans="1:11">
      <c r="A1" s="48" t="s">
        <v>822</v>
      </c>
      <c r="K1" s="41" t="s">
        <v>834</v>
      </c>
    </row>
    <row r="2" spans="1:11">
      <c r="A2" s="23" t="s">
        <v>673</v>
      </c>
      <c r="B2" s="23" t="s">
        <v>1</v>
      </c>
      <c r="C2" s="23">
        <v>2018</v>
      </c>
      <c r="D2" s="23" t="s">
        <v>1</v>
      </c>
      <c r="E2" s="23">
        <v>2019</v>
      </c>
      <c r="F2" s="23" t="s">
        <v>1</v>
      </c>
      <c r="G2" s="23">
        <v>2020</v>
      </c>
      <c r="H2" s="23" t="s">
        <v>1</v>
      </c>
      <c r="I2" s="23">
        <v>2021</v>
      </c>
      <c r="J2" s="23" t="s">
        <v>1</v>
      </c>
      <c r="K2" s="23">
        <v>2022</v>
      </c>
    </row>
    <row r="3" spans="1:11">
      <c r="A3" s="16" t="s">
        <v>84</v>
      </c>
      <c r="B3" s="31"/>
      <c r="C3" s="39">
        <v>10</v>
      </c>
      <c r="D3" s="39"/>
      <c r="E3" s="39">
        <v>1</v>
      </c>
      <c r="F3" s="39"/>
      <c r="G3" s="39">
        <v>1</v>
      </c>
      <c r="H3" s="39"/>
      <c r="I3" s="39">
        <v>1</v>
      </c>
      <c r="J3" s="39"/>
      <c r="K3" s="39">
        <v>1.3</v>
      </c>
    </row>
    <row r="4" spans="1:11">
      <c r="A4" s="16" t="s">
        <v>85</v>
      </c>
      <c r="B4" s="31"/>
      <c r="C4" s="39">
        <v>900</v>
      </c>
      <c r="D4" s="39"/>
      <c r="E4" s="39">
        <v>600</v>
      </c>
      <c r="F4" s="39"/>
      <c r="G4" s="39">
        <v>432.7</v>
      </c>
      <c r="H4" s="39"/>
      <c r="I4" s="39">
        <v>25</v>
      </c>
      <c r="J4" s="39"/>
      <c r="K4" s="39">
        <v>8.5</v>
      </c>
    </row>
    <row r="5" spans="1:11">
      <c r="A5" s="16" t="s">
        <v>86</v>
      </c>
      <c r="B5" s="31"/>
      <c r="C5" s="39"/>
      <c r="D5" s="39"/>
      <c r="E5" s="39"/>
      <c r="F5" s="39"/>
      <c r="G5" s="39"/>
      <c r="H5" s="39"/>
      <c r="I5" s="39"/>
      <c r="J5" s="39"/>
      <c r="K5" s="39"/>
    </row>
    <row r="6" spans="1:11">
      <c r="A6" s="16" t="s">
        <v>87</v>
      </c>
      <c r="B6" s="31"/>
      <c r="C6" s="39"/>
      <c r="D6" s="39"/>
      <c r="E6" s="39"/>
      <c r="F6" s="39"/>
      <c r="G6" s="39"/>
      <c r="H6" s="39"/>
      <c r="I6" s="39"/>
      <c r="J6" s="39"/>
      <c r="K6" s="39"/>
    </row>
    <row r="7" spans="1:11">
      <c r="A7" s="16" t="s">
        <v>88</v>
      </c>
      <c r="B7" s="31"/>
      <c r="C7" s="39"/>
      <c r="D7" s="39"/>
      <c r="E7" s="39"/>
      <c r="F7" s="39"/>
      <c r="G7" s="39"/>
      <c r="H7" s="39"/>
      <c r="I7" s="39"/>
      <c r="J7" s="39"/>
      <c r="K7" s="39"/>
    </row>
    <row r="8" spans="1:11">
      <c r="A8" s="16" t="s">
        <v>823</v>
      </c>
      <c r="B8" s="31"/>
      <c r="C8" s="39"/>
      <c r="D8" s="39"/>
      <c r="E8" s="39"/>
      <c r="F8" s="39"/>
      <c r="G8" s="39"/>
      <c r="H8" s="39"/>
      <c r="I8" s="39"/>
      <c r="J8" s="39"/>
      <c r="K8" s="39"/>
    </row>
    <row r="9" spans="1:11">
      <c r="A9" s="16" t="s">
        <v>820</v>
      </c>
      <c r="B9" s="31"/>
      <c r="C9" s="39"/>
      <c r="D9" s="39"/>
      <c r="E9" s="39"/>
      <c r="F9" s="39"/>
      <c r="G9" s="39"/>
      <c r="H9" s="39"/>
      <c r="I9" s="39"/>
      <c r="J9" s="39"/>
      <c r="K9" s="39"/>
    </row>
    <row r="10" spans="1:11">
      <c r="A10" s="16" t="s">
        <v>821</v>
      </c>
      <c r="B10" s="31"/>
      <c r="C10" s="39"/>
      <c r="D10" s="39"/>
      <c r="E10" s="39"/>
      <c r="F10" s="39"/>
      <c r="G10" s="39"/>
      <c r="H10" s="39"/>
      <c r="I10" s="39"/>
      <c r="J10" s="39"/>
      <c r="K10" s="39"/>
    </row>
    <row r="11" spans="1:11">
      <c r="A11" s="16" t="s">
        <v>89</v>
      </c>
      <c r="B11" s="31"/>
      <c r="C11" s="39"/>
      <c r="D11" s="39"/>
      <c r="E11" s="39"/>
      <c r="F11" s="39"/>
      <c r="G11" s="39"/>
      <c r="H11" s="39"/>
      <c r="I11" s="39"/>
      <c r="J11" s="39"/>
      <c r="K11" s="39"/>
    </row>
    <row r="12" spans="1:11">
      <c r="A12" s="16" t="s">
        <v>90</v>
      </c>
      <c r="B12" s="31"/>
      <c r="C12" s="39"/>
      <c r="D12" s="39"/>
      <c r="E12" s="39"/>
      <c r="F12" s="39"/>
      <c r="G12" s="39"/>
      <c r="H12" s="39"/>
      <c r="I12" s="39"/>
      <c r="J12" s="39"/>
      <c r="K12" s="39"/>
    </row>
    <row r="13" spans="1:11">
      <c r="A13" s="16" t="s">
        <v>91</v>
      </c>
      <c r="B13" s="31"/>
      <c r="C13" s="39"/>
      <c r="D13" s="39"/>
      <c r="E13" s="39"/>
      <c r="F13" s="39"/>
      <c r="G13" s="39"/>
      <c r="H13" s="39"/>
      <c r="I13" s="39"/>
      <c r="J13" s="39"/>
      <c r="K13" s="39"/>
    </row>
    <row r="14" spans="1:11">
      <c r="A14" s="16" t="s">
        <v>92</v>
      </c>
      <c r="B14" s="31"/>
      <c r="C14" s="39"/>
      <c r="D14" s="39"/>
      <c r="E14" s="39"/>
      <c r="F14" s="39"/>
      <c r="G14" s="39"/>
      <c r="H14" s="39"/>
      <c r="I14" s="39"/>
      <c r="J14" s="39"/>
      <c r="K14" s="39"/>
    </row>
    <row r="15" spans="1:11">
      <c r="A15" s="16"/>
      <c r="B15" s="31"/>
      <c r="C15" s="39"/>
      <c r="D15" s="39"/>
      <c r="E15" s="39"/>
      <c r="F15" s="39"/>
      <c r="G15" s="39"/>
      <c r="H15" s="39"/>
      <c r="I15" s="39"/>
      <c r="J15" s="39"/>
      <c r="K15" s="39"/>
    </row>
    <row r="16" spans="1:11">
      <c r="A16" s="16" t="s">
        <v>43</v>
      </c>
      <c r="B16" s="31"/>
      <c r="C16" s="39">
        <v>0.2</v>
      </c>
      <c r="D16" s="39"/>
      <c r="E16" s="39"/>
      <c r="F16" s="39"/>
      <c r="G16" s="39"/>
      <c r="H16" s="39"/>
      <c r="I16" s="39"/>
      <c r="J16" s="39"/>
      <c r="K16" s="39"/>
    </row>
    <row r="17" spans="1:11">
      <c r="A17" s="16" t="s">
        <v>44</v>
      </c>
      <c r="B17" s="31"/>
      <c r="C17" s="39">
        <v>1.2</v>
      </c>
      <c r="D17" s="39"/>
      <c r="E17" s="39"/>
      <c r="F17" s="39"/>
      <c r="G17" s="39"/>
      <c r="H17" s="39"/>
      <c r="I17" s="39"/>
      <c r="J17" s="39"/>
      <c r="K17" s="39"/>
    </row>
    <row r="18" spans="1:11">
      <c r="A18" s="16" t="s">
        <v>95</v>
      </c>
      <c r="B18" s="31" t="s">
        <v>96</v>
      </c>
      <c r="C18" s="39">
        <v>0.1</v>
      </c>
      <c r="D18" s="39" t="s">
        <v>96</v>
      </c>
      <c r="E18" s="39">
        <v>0.2</v>
      </c>
      <c r="F18" s="39" t="s">
        <v>96</v>
      </c>
      <c r="G18" s="39">
        <v>0.1</v>
      </c>
      <c r="H18" s="39" t="s">
        <v>96</v>
      </c>
      <c r="I18" s="39">
        <v>0.1</v>
      </c>
      <c r="J18" s="39" t="s">
        <v>96</v>
      </c>
      <c r="K18" s="39">
        <v>0.1</v>
      </c>
    </row>
    <row r="19" spans="1:11">
      <c r="A19" s="16" t="s">
        <v>675</v>
      </c>
      <c r="B19" s="31"/>
      <c r="C19" s="39"/>
      <c r="D19" s="39"/>
      <c r="E19" s="39"/>
      <c r="F19" s="39"/>
      <c r="G19" s="39"/>
      <c r="H19" s="39"/>
      <c r="I19" s="39"/>
      <c r="J19" s="39"/>
      <c r="K19" s="39"/>
    </row>
    <row r="20" spans="1:11">
      <c r="A20" s="16" t="s">
        <v>676</v>
      </c>
      <c r="B20" s="31"/>
      <c r="C20" s="39"/>
      <c r="D20" s="39"/>
      <c r="E20" s="39"/>
      <c r="F20" s="39"/>
      <c r="G20" s="39"/>
      <c r="H20" s="39"/>
      <c r="I20" s="39"/>
      <c r="J20" s="39"/>
      <c r="K20" s="39"/>
    </row>
    <row r="21" spans="1:11">
      <c r="A21" s="16"/>
      <c r="B21" s="31"/>
      <c r="C21" s="39"/>
      <c r="D21" s="39"/>
      <c r="E21" s="39"/>
      <c r="F21" s="39"/>
      <c r="G21" s="39"/>
      <c r="H21" s="39"/>
      <c r="I21" s="39"/>
      <c r="J21" s="39"/>
      <c r="K21" s="39"/>
    </row>
    <row r="22" spans="1:11">
      <c r="A22" s="16" t="s">
        <v>54</v>
      </c>
      <c r="B22" s="31"/>
      <c r="C22" s="39"/>
      <c r="D22" s="39"/>
      <c r="E22" s="39"/>
      <c r="F22" s="39"/>
      <c r="G22" s="39"/>
      <c r="H22" s="39"/>
      <c r="I22" s="39"/>
      <c r="J22" s="39"/>
      <c r="K22" s="39"/>
    </row>
    <row r="23" spans="1:11">
      <c r="A23" s="16" t="s">
        <v>51</v>
      </c>
      <c r="B23" s="31"/>
      <c r="C23" s="39"/>
      <c r="D23" s="39"/>
      <c r="E23" s="39"/>
      <c r="F23" s="39"/>
      <c r="G23" s="39"/>
      <c r="H23" s="39"/>
      <c r="I23" s="39"/>
      <c r="J23" s="39"/>
      <c r="K23" s="39"/>
    </row>
    <row r="24" spans="1:11">
      <c r="A24" s="16" t="s">
        <v>710</v>
      </c>
      <c r="B24" s="31"/>
      <c r="C24" s="39"/>
      <c r="D24" s="39"/>
      <c r="E24" s="39"/>
      <c r="F24" s="39"/>
      <c r="G24" s="39"/>
      <c r="H24" s="39"/>
      <c r="I24" s="39"/>
      <c r="J24" s="39"/>
      <c r="K24" s="39"/>
    </row>
    <row r="25" spans="1:11">
      <c r="A25" s="16" t="s">
        <v>135</v>
      </c>
      <c r="B25" s="31"/>
      <c r="C25" s="39"/>
      <c r="D25" s="39"/>
      <c r="E25" s="39"/>
      <c r="F25" s="39"/>
      <c r="G25" s="39"/>
      <c r="H25" s="39"/>
      <c r="I25" s="39"/>
      <c r="J25" s="39"/>
      <c r="K25" s="39"/>
    </row>
    <row r="26" spans="1:11">
      <c r="A26" s="16" t="s">
        <v>136</v>
      </c>
      <c r="B26" s="31"/>
      <c r="C26" s="39"/>
      <c r="D26" s="39"/>
      <c r="E26" s="39"/>
      <c r="F26" s="39"/>
      <c r="G26" s="39"/>
      <c r="H26" s="39"/>
      <c r="I26" s="39"/>
      <c r="J26" s="39"/>
      <c r="K26" s="39"/>
    </row>
    <row r="27" spans="1:11">
      <c r="A27" s="16" t="s">
        <v>49</v>
      </c>
      <c r="B27" s="31"/>
      <c r="C27" s="39"/>
      <c r="D27" s="39"/>
      <c r="E27" s="39"/>
      <c r="F27" s="39"/>
      <c r="G27" s="39"/>
      <c r="H27" s="39"/>
      <c r="I27" s="39"/>
      <c r="J27" s="39"/>
      <c r="K27" s="39"/>
    </row>
    <row r="28" spans="1:11">
      <c r="A28" s="16" t="s">
        <v>50</v>
      </c>
      <c r="B28" s="31"/>
      <c r="C28" s="39"/>
      <c r="D28" s="39"/>
      <c r="E28" s="39"/>
      <c r="F28" s="39"/>
      <c r="G28" s="39"/>
      <c r="H28" s="39"/>
      <c r="I28" s="39"/>
      <c r="J28" s="39"/>
      <c r="K28" s="39"/>
    </row>
    <row r="29" spans="1:11">
      <c r="A29" s="16" t="s">
        <v>52</v>
      </c>
      <c r="B29" s="31" t="s">
        <v>137</v>
      </c>
      <c r="C29" s="39">
        <v>82296</v>
      </c>
      <c r="D29" s="39" t="s">
        <v>137</v>
      </c>
      <c r="E29" s="39">
        <v>83014</v>
      </c>
      <c r="F29" s="39" t="s">
        <v>137</v>
      </c>
      <c r="G29" s="39">
        <v>76277</v>
      </c>
      <c r="H29" s="39" t="s">
        <v>137</v>
      </c>
      <c r="I29" s="39">
        <v>88321</v>
      </c>
      <c r="J29" s="39" t="s">
        <v>137</v>
      </c>
      <c r="K29" s="39">
        <v>82096</v>
      </c>
    </row>
    <row r="30" spans="1:11">
      <c r="A30" s="16" t="s">
        <v>107</v>
      </c>
      <c r="B30" s="31"/>
      <c r="C30" s="39"/>
      <c r="D30" s="39"/>
      <c r="E30" s="39"/>
      <c r="F30" s="39"/>
      <c r="G30" s="39"/>
      <c r="H30" s="39"/>
      <c r="I30" s="39"/>
      <c r="J30" s="39"/>
      <c r="K30" s="39"/>
    </row>
    <row r="31" spans="1:11">
      <c r="A31" s="16" t="s">
        <v>48</v>
      </c>
      <c r="B31" s="31" t="s">
        <v>138</v>
      </c>
      <c r="C31" s="39">
        <v>55481</v>
      </c>
      <c r="D31" s="39" t="s">
        <v>138</v>
      </c>
      <c r="E31" s="39">
        <v>50480</v>
      </c>
      <c r="F31" s="39" t="s">
        <v>138</v>
      </c>
      <c r="G31" s="39">
        <v>44137</v>
      </c>
      <c r="H31" s="39" t="s">
        <v>138</v>
      </c>
      <c r="I31" s="39">
        <v>50328</v>
      </c>
      <c r="J31" s="39" t="s">
        <v>138</v>
      </c>
      <c r="K31" s="39">
        <v>45682</v>
      </c>
    </row>
    <row r="32" spans="1:11">
      <c r="A32" s="16" t="s">
        <v>103</v>
      </c>
      <c r="B32" s="31"/>
      <c r="C32" s="39"/>
      <c r="D32" s="39"/>
      <c r="E32" s="39"/>
      <c r="F32" s="39"/>
      <c r="G32" s="39"/>
      <c r="H32" s="39"/>
      <c r="I32" s="39"/>
      <c r="J32" s="39"/>
      <c r="K32" s="39"/>
    </row>
    <row r="33" spans="1:11">
      <c r="A33" s="16"/>
      <c r="B33" s="31"/>
      <c r="C33" s="39"/>
      <c r="D33" s="39"/>
      <c r="E33" s="39"/>
      <c r="F33" s="39"/>
      <c r="G33" s="39"/>
      <c r="H33" s="39"/>
      <c r="I33" s="39"/>
      <c r="J33" s="39"/>
      <c r="K33" s="39"/>
    </row>
    <row r="34" spans="1:11">
      <c r="A34" s="16" t="s">
        <v>56</v>
      </c>
      <c r="B34" s="31" t="s">
        <v>96</v>
      </c>
      <c r="C34" s="39">
        <v>867</v>
      </c>
      <c r="D34" s="39" t="s">
        <v>96</v>
      </c>
      <c r="E34" s="39">
        <v>738</v>
      </c>
      <c r="F34" s="39" t="s">
        <v>96</v>
      </c>
      <c r="G34" s="39">
        <v>696</v>
      </c>
      <c r="H34" s="39" t="s">
        <v>96</v>
      </c>
      <c r="I34" s="39">
        <v>945</v>
      </c>
      <c r="J34" s="39" t="s">
        <v>96</v>
      </c>
      <c r="K34" s="39">
        <v>1040.3</v>
      </c>
    </row>
    <row r="35" spans="1:11">
      <c r="A35" s="16" t="s">
        <v>109</v>
      </c>
      <c r="B35" s="31"/>
      <c r="C35" s="39"/>
      <c r="D35" s="39"/>
      <c r="E35" s="39"/>
      <c r="F35" s="39"/>
      <c r="G35" s="39"/>
      <c r="H35" s="39"/>
      <c r="I35" s="39"/>
      <c r="J35" s="39"/>
      <c r="K35" s="39"/>
    </row>
    <row r="36" spans="1:11">
      <c r="A36" s="16" t="s">
        <v>55</v>
      </c>
      <c r="B36" s="31" t="s">
        <v>139</v>
      </c>
      <c r="C36" s="39">
        <v>996</v>
      </c>
      <c r="D36" s="39" t="s">
        <v>139</v>
      </c>
      <c r="E36" s="39">
        <v>715</v>
      </c>
      <c r="F36" s="39" t="s">
        <v>139</v>
      </c>
      <c r="G36" s="39">
        <v>635</v>
      </c>
      <c r="H36" s="39" t="s">
        <v>139</v>
      </c>
      <c r="I36" s="39">
        <v>735.4</v>
      </c>
      <c r="J36" s="39" t="s">
        <v>139</v>
      </c>
      <c r="K36" s="39">
        <v>708.6</v>
      </c>
    </row>
    <row r="37" spans="1:11">
      <c r="A37" s="16" t="s">
        <v>111</v>
      </c>
      <c r="B37" s="31"/>
      <c r="C37" s="39"/>
      <c r="D37" s="39"/>
      <c r="E37" s="39"/>
      <c r="F37" s="39"/>
      <c r="G37" s="39"/>
      <c r="H37" s="39"/>
      <c r="I37" s="39"/>
      <c r="J37" s="39"/>
      <c r="K37" s="39"/>
    </row>
    <row r="38" spans="1:11">
      <c r="A38" s="16" t="s">
        <v>61</v>
      </c>
      <c r="B38" s="31" t="s">
        <v>96</v>
      </c>
      <c r="C38" s="39">
        <v>11</v>
      </c>
      <c r="D38" s="39" t="s">
        <v>96</v>
      </c>
      <c r="E38" s="39">
        <v>14</v>
      </c>
      <c r="F38" s="39" t="s">
        <v>96</v>
      </c>
      <c r="G38" s="39">
        <v>15</v>
      </c>
      <c r="H38" s="39" t="s">
        <v>96</v>
      </c>
      <c r="I38" s="39">
        <v>14.8</v>
      </c>
      <c r="J38" s="39" t="s">
        <v>96</v>
      </c>
      <c r="K38" s="39">
        <v>12.7</v>
      </c>
    </row>
    <row r="39" spans="1:11">
      <c r="A39" s="16" t="s">
        <v>140</v>
      </c>
      <c r="B39" s="31"/>
      <c r="C39" s="39"/>
      <c r="D39" s="39"/>
      <c r="E39" s="39"/>
      <c r="F39" s="39"/>
      <c r="G39" s="39"/>
      <c r="H39" s="39"/>
      <c r="I39" s="39"/>
      <c r="J39" s="39"/>
      <c r="K39" s="39"/>
    </row>
    <row r="40" spans="1:11">
      <c r="A40" s="16" t="s">
        <v>112</v>
      </c>
      <c r="B40" s="31" t="s">
        <v>96</v>
      </c>
      <c r="C40" s="39">
        <v>1400</v>
      </c>
      <c r="D40" s="39" t="s">
        <v>96</v>
      </c>
      <c r="E40" s="39">
        <v>1600</v>
      </c>
      <c r="F40" s="39" t="s">
        <v>96</v>
      </c>
      <c r="G40" s="39">
        <v>1300</v>
      </c>
      <c r="H40" s="39" t="s">
        <v>96</v>
      </c>
      <c r="I40" s="39">
        <v>2400</v>
      </c>
      <c r="J40" s="39" t="s">
        <v>96</v>
      </c>
      <c r="K40" s="39">
        <v>2400</v>
      </c>
    </row>
    <row r="41" spans="1:11" ht="15">
      <c r="A41" s="16" t="s">
        <v>846</v>
      </c>
      <c r="B41" s="31"/>
      <c r="C41" s="39"/>
      <c r="D41" s="39"/>
      <c r="E41" s="39"/>
      <c r="F41" s="39"/>
      <c r="G41" s="39"/>
      <c r="H41" s="39"/>
      <c r="I41" s="39"/>
      <c r="J41" s="39"/>
      <c r="K41" s="39"/>
    </row>
    <row r="42" spans="1:11">
      <c r="A42" s="16" t="s">
        <v>59</v>
      </c>
      <c r="B42" s="31" t="s">
        <v>141</v>
      </c>
      <c r="C42" s="39">
        <v>210</v>
      </c>
      <c r="D42" s="39"/>
      <c r="E42" s="39"/>
      <c r="F42" s="39"/>
      <c r="G42" s="39"/>
      <c r="H42" s="39"/>
      <c r="I42" s="39"/>
      <c r="J42" s="39"/>
      <c r="K42" s="39"/>
    </row>
    <row r="43" spans="1:11">
      <c r="A43" s="16" t="s">
        <v>60</v>
      </c>
      <c r="B43" s="31"/>
      <c r="C43" s="39">
        <v>400</v>
      </c>
      <c r="D43" s="39"/>
      <c r="E43" s="39">
        <v>635</v>
      </c>
      <c r="F43" s="39"/>
      <c r="G43" s="39">
        <v>709</v>
      </c>
      <c r="H43" s="39"/>
      <c r="I43" s="39">
        <v>789</v>
      </c>
      <c r="J43" s="39"/>
      <c r="K43" s="39">
        <v>953</v>
      </c>
    </row>
    <row r="44" spans="1:11">
      <c r="A44" s="16" t="s">
        <v>57</v>
      </c>
      <c r="B44" s="31"/>
      <c r="C44" s="39"/>
      <c r="D44" s="39"/>
      <c r="E44" s="39"/>
      <c r="F44" s="39"/>
      <c r="G44" s="39"/>
      <c r="H44" s="39"/>
      <c r="I44" s="39"/>
      <c r="J44" s="39"/>
      <c r="K44" s="39"/>
    </row>
    <row r="45" spans="1:11">
      <c r="A45" s="16" t="s">
        <v>58</v>
      </c>
      <c r="B45" s="31"/>
      <c r="C45" s="39">
        <v>4235</v>
      </c>
      <c r="D45" s="39"/>
      <c r="E45" s="39"/>
      <c r="F45" s="39"/>
      <c r="G45" s="39"/>
      <c r="H45" s="39"/>
      <c r="I45" s="39"/>
      <c r="J45" s="39"/>
      <c r="K45" s="39"/>
    </row>
    <row r="46" spans="1:11">
      <c r="A46" s="26"/>
      <c r="B46" s="26"/>
      <c r="C46" s="26"/>
      <c r="D46" s="26"/>
      <c r="E46" s="26"/>
      <c r="F46" s="26"/>
      <c r="G46" s="26"/>
      <c r="H46" s="26"/>
      <c r="I46" s="26"/>
      <c r="J46" s="26"/>
      <c r="K46" s="26"/>
    </row>
    <row r="47" spans="1:11">
      <c r="A47" s="16"/>
      <c r="B47" s="16"/>
      <c r="C47" s="16"/>
      <c r="D47" s="16"/>
      <c r="E47" s="16"/>
      <c r="F47" s="16"/>
      <c r="G47" s="16"/>
      <c r="H47" s="16"/>
      <c r="I47" s="16"/>
      <c r="J47" s="16"/>
      <c r="K47" s="16"/>
    </row>
    <row r="48" spans="1:11">
      <c r="A48" s="16" t="s">
        <v>14</v>
      </c>
      <c r="B48" s="16" t="s">
        <v>15</v>
      </c>
      <c r="C48" s="16"/>
      <c r="D48" s="16"/>
      <c r="E48" s="16"/>
      <c r="F48" s="16"/>
      <c r="G48" s="16"/>
      <c r="H48" s="16"/>
      <c r="I48" s="16"/>
      <c r="J48" s="16"/>
      <c r="K48" s="16"/>
    </row>
    <row r="49" spans="1:11">
      <c r="A49" s="16" t="s">
        <v>142</v>
      </c>
      <c r="B49" s="16" t="s">
        <v>143</v>
      </c>
      <c r="C49" s="16"/>
      <c r="D49" s="16"/>
      <c r="E49" s="16"/>
      <c r="F49" s="16"/>
      <c r="G49" s="16"/>
      <c r="H49" s="16"/>
      <c r="I49" s="16"/>
      <c r="J49" s="16"/>
      <c r="K49" s="16"/>
    </row>
    <row r="50" spans="1:11">
      <c r="A50" s="16" t="s">
        <v>120</v>
      </c>
      <c r="B50" s="16" t="s">
        <v>121</v>
      </c>
      <c r="C50" s="16"/>
      <c r="D50" s="16"/>
      <c r="E50" s="16"/>
      <c r="F50" s="16"/>
      <c r="G50" s="16"/>
      <c r="H50" s="16"/>
      <c r="I50" s="16"/>
      <c r="J50" s="16"/>
      <c r="K50" s="16"/>
    </row>
    <row r="51" spans="1:11" ht="27" customHeight="1">
      <c r="A51" s="16" t="s">
        <v>122</v>
      </c>
      <c r="B51" s="105" t="s">
        <v>144</v>
      </c>
      <c r="C51" s="105"/>
      <c r="D51" s="105"/>
      <c r="E51" s="105"/>
      <c r="F51" s="105"/>
      <c r="G51" s="105"/>
      <c r="H51" s="105"/>
      <c r="I51" s="105"/>
      <c r="J51" s="105"/>
      <c r="K51" s="16"/>
    </row>
    <row r="52" spans="1:11">
      <c r="A52" s="16" t="s">
        <v>124</v>
      </c>
      <c r="B52" s="16" t="s">
        <v>128</v>
      </c>
      <c r="C52" s="16"/>
      <c r="D52" s="16"/>
      <c r="E52" s="16"/>
      <c r="F52" s="16"/>
      <c r="G52" s="16"/>
      <c r="H52" s="16"/>
      <c r="I52" s="16"/>
      <c r="J52" s="16"/>
      <c r="K52" s="16"/>
    </row>
    <row r="53" spans="1:11">
      <c r="A53" s="16" t="s">
        <v>127</v>
      </c>
      <c r="B53" s="16" t="s">
        <v>130</v>
      </c>
      <c r="C53" s="16"/>
      <c r="D53" s="16"/>
      <c r="E53" s="16"/>
      <c r="F53" s="16"/>
      <c r="G53" s="16"/>
      <c r="H53" s="16"/>
      <c r="I53" s="16"/>
      <c r="J53" s="16"/>
      <c r="K53" s="16"/>
    </row>
    <row r="54" spans="1:11">
      <c r="A54" s="16" t="s">
        <v>129</v>
      </c>
      <c r="B54" s="16" t="s">
        <v>132</v>
      </c>
      <c r="C54" s="16"/>
      <c r="D54" s="16"/>
      <c r="E54" s="16"/>
      <c r="F54" s="16"/>
      <c r="G54" s="16"/>
      <c r="H54" s="16"/>
      <c r="I54" s="16"/>
      <c r="J54" s="16"/>
      <c r="K54" s="16"/>
    </row>
    <row r="55" spans="1:11">
      <c r="A55" s="16" t="s">
        <v>131</v>
      </c>
      <c r="B55" s="16" t="s">
        <v>782</v>
      </c>
      <c r="C55" s="16"/>
      <c r="D55" s="16"/>
      <c r="E55" s="16"/>
      <c r="F55" s="16"/>
      <c r="G55" s="16"/>
      <c r="H55" s="16"/>
      <c r="I55" s="16"/>
      <c r="J55" s="16"/>
      <c r="K55" s="16"/>
    </row>
    <row r="56" spans="1:11">
      <c r="A56" s="16"/>
      <c r="B56" s="16"/>
      <c r="C56" s="16"/>
      <c r="D56" s="16"/>
      <c r="E56" s="16"/>
      <c r="F56" s="16"/>
      <c r="G56" s="16"/>
      <c r="H56" s="16"/>
      <c r="I56" s="16"/>
      <c r="J56" s="16"/>
      <c r="K56" s="16"/>
    </row>
    <row r="57" spans="1:11" ht="27" customHeight="1">
      <c r="A57" s="105" t="s">
        <v>147</v>
      </c>
      <c r="B57" s="105"/>
      <c r="C57" s="105"/>
      <c r="D57" s="105"/>
      <c r="E57" s="105"/>
      <c r="F57" s="105"/>
      <c r="G57" s="105"/>
      <c r="H57" s="105"/>
      <c r="I57" s="105"/>
      <c r="J57" s="105"/>
      <c r="K57" s="16"/>
    </row>
    <row r="58" spans="1:11">
      <c r="A58" s="16"/>
      <c r="B58" s="16"/>
      <c r="C58" s="16"/>
      <c r="D58" s="16"/>
      <c r="E58" s="16"/>
      <c r="F58" s="16"/>
      <c r="G58" s="16"/>
      <c r="H58" s="16"/>
      <c r="I58" s="16"/>
      <c r="J58" s="16"/>
      <c r="K58" s="16"/>
    </row>
    <row r="60" spans="1:11">
      <c r="A60" s="28" t="str">
        <f>HYPERLINK("[UKMY 2023 PrintableV1.1 12_09_24.xlsx]Contents!A1","Return to contents page")</f>
        <v>Return to contents page</v>
      </c>
    </row>
    <row r="64" spans="1:11">
      <c r="E64" s="47"/>
    </row>
  </sheetData>
  <mergeCells count="2">
    <mergeCell ref="B51:J51"/>
    <mergeCell ref="A57:J57"/>
  </mergeCells>
  <pageMargins left="0.7" right="0.7" top="0.75" bottom="0.75" header="0.3" footer="0.3"/>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B8CD9-E9C3-4B50-9941-D6F62373DC1A}">
  <dimension ref="A1:M64"/>
  <sheetViews>
    <sheetView view="pageBreakPreview" zoomScaleNormal="100" zoomScaleSheetLayoutView="100" workbookViewId="0">
      <selection activeCell="B17" sqref="B17"/>
    </sheetView>
  </sheetViews>
  <sheetFormatPr defaultColWidth="9.1796875" defaultRowHeight="14"/>
  <cols>
    <col min="1" max="1" width="11.81640625" style="73" customWidth="1"/>
    <col min="2" max="2" width="22.1796875" style="79" customWidth="1"/>
    <col min="3" max="3" width="15.26953125" style="73" bestFit="1" customWidth="1"/>
    <col min="4" max="4" width="3.54296875" style="73" bestFit="1" customWidth="1"/>
    <col min="5" max="5" width="11.26953125" style="73" bestFit="1" customWidth="1"/>
    <col min="6" max="6" width="3.54296875" style="73" bestFit="1" customWidth="1"/>
    <col min="7" max="7" width="11.26953125" style="73" bestFit="1" customWidth="1"/>
    <col min="8" max="8" width="6" style="73" bestFit="1" customWidth="1"/>
    <col min="9" max="9" width="11.26953125" style="73" bestFit="1" customWidth="1"/>
    <col min="10" max="10" width="6" style="73" bestFit="1" customWidth="1"/>
    <col min="11" max="11" width="11.26953125" style="73" bestFit="1" customWidth="1"/>
    <col min="12" max="12" width="6" style="73" bestFit="1" customWidth="1"/>
    <col min="13" max="13" width="11.26953125" style="73" bestFit="1" customWidth="1"/>
    <col min="14" max="16384" width="9.1796875" style="73"/>
  </cols>
  <sheetData>
    <row r="1" spans="1:13" ht="15.5">
      <c r="A1" s="72" t="s">
        <v>564</v>
      </c>
    </row>
    <row r="2" spans="1:13">
      <c r="A2" s="83" t="s">
        <v>670</v>
      </c>
      <c r="B2" s="84" t="s">
        <v>0</v>
      </c>
      <c r="C2" s="83" t="s">
        <v>669</v>
      </c>
      <c r="D2" s="83" t="s">
        <v>1</v>
      </c>
      <c r="E2" s="83">
        <v>2018</v>
      </c>
      <c r="F2" s="83" t="s">
        <v>1</v>
      </c>
      <c r="G2" s="83">
        <v>2019</v>
      </c>
      <c r="H2" s="83" t="s">
        <v>1</v>
      </c>
      <c r="I2" s="83">
        <v>2020</v>
      </c>
      <c r="J2" s="83" t="s">
        <v>1</v>
      </c>
      <c r="K2" s="83">
        <v>2021</v>
      </c>
      <c r="L2" s="83" t="s">
        <v>1</v>
      </c>
      <c r="M2" s="83">
        <v>2022</v>
      </c>
    </row>
    <row r="3" spans="1:13" ht="25.5">
      <c r="A3" s="86" t="s">
        <v>38</v>
      </c>
      <c r="B3" s="85" t="s">
        <v>828</v>
      </c>
      <c r="C3" s="86" t="s">
        <v>201</v>
      </c>
      <c r="D3" s="86" t="s">
        <v>205</v>
      </c>
      <c r="E3" s="87">
        <v>69882000</v>
      </c>
      <c r="F3" s="86" t="s">
        <v>205</v>
      </c>
      <c r="G3" s="87">
        <v>65660000</v>
      </c>
      <c r="H3" s="86" t="s">
        <v>565</v>
      </c>
      <c r="I3" s="87">
        <v>57571000</v>
      </c>
      <c r="J3" s="86" t="s">
        <v>565</v>
      </c>
      <c r="K3" s="87">
        <v>64270000</v>
      </c>
      <c r="L3" s="86" t="s">
        <v>565</v>
      </c>
      <c r="M3" s="87">
        <v>59024000</v>
      </c>
    </row>
    <row r="4" spans="1:13">
      <c r="A4" s="86"/>
      <c r="B4" s="85"/>
      <c r="C4" s="86"/>
      <c r="D4" s="86"/>
      <c r="E4" s="86"/>
      <c r="F4" s="86"/>
      <c r="G4" s="86"/>
      <c r="H4" s="86"/>
      <c r="I4" s="86"/>
      <c r="J4" s="86"/>
      <c r="K4" s="86"/>
      <c r="L4" s="86"/>
      <c r="M4" s="86"/>
    </row>
    <row r="5" spans="1:13" ht="38">
      <c r="A5" s="86" t="s">
        <v>19</v>
      </c>
      <c r="B5" s="85" t="s">
        <v>566</v>
      </c>
      <c r="C5" s="86" t="s">
        <v>829</v>
      </c>
      <c r="D5" s="86"/>
      <c r="E5" s="87">
        <v>19951</v>
      </c>
      <c r="F5" s="86"/>
      <c r="G5" s="87">
        <v>25586</v>
      </c>
      <c r="H5" s="86"/>
      <c r="I5" s="87">
        <v>22491</v>
      </c>
      <c r="J5" s="86"/>
      <c r="K5" s="87">
        <v>15300</v>
      </c>
      <c r="L5" s="86"/>
      <c r="M5" s="87">
        <v>24499</v>
      </c>
    </row>
    <row r="6" spans="1:13" ht="38">
      <c r="A6" s="86" t="s">
        <v>19</v>
      </c>
      <c r="B6" s="85" t="s">
        <v>566</v>
      </c>
      <c r="C6" s="86" t="s">
        <v>201</v>
      </c>
      <c r="D6" s="86"/>
      <c r="E6" s="87">
        <v>488876</v>
      </c>
      <c r="F6" s="86"/>
      <c r="G6" s="87">
        <v>465526</v>
      </c>
      <c r="H6" s="86"/>
      <c r="I6" s="87">
        <v>348107</v>
      </c>
      <c r="J6" s="86"/>
      <c r="K6" s="87">
        <v>386203</v>
      </c>
      <c r="L6" s="86"/>
      <c r="M6" s="87">
        <v>984924</v>
      </c>
    </row>
    <row r="7" spans="1:13">
      <c r="A7" s="86"/>
      <c r="B7" s="85"/>
      <c r="C7" s="86"/>
      <c r="D7" s="86"/>
      <c r="E7" s="86"/>
      <c r="F7" s="86"/>
      <c r="G7" s="86"/>
      <c r="H7" s="86"/>
      <c r="I7" s="86"/>
      <c r="J7" s="86"/>
      <c r="K7" s="86"/>
      <c r="L7" s="86"/>
      <c r="M7" s="86"/>
    </row>
    <row r="8" spans="1:13" ht="38">
      <c r="A8" s="86" t="s">
        <v>20</v>
      </c>
      <c r="B8" s="85" t="s">
        <v>566</v>
      </c>
      <c r="C8" s="86" t="s">
        <v>829</v>
      </c>
      <c r="D8" s="86" t="s">
        <v>212</v>
      </c>
      <c r="E8" s="87">
        <v>28994</v>
      </c>
      <c r="F8" s="86" t="s">
        <v>212</v>
      </c>
      <c r="G8" s="87">
        <v>40017</v>
      </c>
      <c r="H8" s="86" t="s">
        <v>212</v>
      </c>
      <c r="I8" s="87">
        <v>31407</v>
      </c>
      <c r="J8" s="86" t="s">
        <v>212</v>
      </c>
      <c r="K8" s="87">
        <v>23087</v>
      </c>
      <c r="L8" s="86" t="s">
        <v>212</v>
      </c>
      <c r="M8" s="87">
        <v>24705</v>
      </c>
    </row>
    <row r="9" spans="1:13" ht="38">
      <c r="A9" s="86" t="s">
        <v>20</v>
      </c>
      <c r="B9" s="85" t="s">
        <v>566</v>
      </c>
      <c r="C9" s="86" t="s">
        <v>201</v>
      </c>
      <c r="D9" s="86" t="s">
        <v>212</v>
      </c>
      <c r="E9" s="87">
        <v>2841913</v>
      </c>
      <c r="F9" s="86" t="s">
        <v>212</v>
      </c>
      <c r="G9" s="87">
        <v>3257033</v>
      </c>
      <c r="H9" s="86" t="s">
        <v>212</v>
      </c>
      <c r="I9" s="87">
        <v>3331874</v>
      </c>
      <c r="J9" s="86" t="s">
        <v>212</v>
      </c>
      <c r="K9" s="87">
        <v>1622240</v>
      </c>
      <c r="L9" s="86" t="s">
        <v>212</v>
      </c>
      <c r="M9" s="87">
        <v>1396360</v>
      </c>
    </row>
    <row r="10" spans="1:13">
      <c r="A10" s="88"/>
      <c r="B10" s="89"/>
      <c r="C10" s="88"/>
      <c r="D10" s="88"/>
      <c r="E10" s="88"/>
      <c r="F10" s="88"/>
      <c r="G10" s="88"/>
      <c r="H10" s="88"/>
      <c r="I10" s="88"/>
      <c r="J10" s="88"/>
      <c r="K10" s="88"/>
      <c r="L10" s="88"/>
      <c r="M10" s="88"/>
    </row>
    <row r="11" spans="1:13">
      <c r="A11" s="86"/>
      <c r="B11" s="85"/>
      <c r="C11" s="86"/>
      <c r="D11" s="86"/>
      <c r="E11" s="86"/>
      <c r="F11" s="86"/>
      <c r="G11" s="86"/>
      <c r="H11" s="86"/>
      <c r="I11" s="86"/>
      <c r="J11" s="86"/>
      <c r="K11" s="86"/>
      <c r="L11" s="86"/>
      <c r="M11" s="86"/>
    </row>
    <row r="12" spans="1:13">
      <c r="A12" s="86" t="s">
        <v>14</v>
      </c>
      <c r="B12" s="85" t="s">
        <v>15</v>
      </c>
      <c r="C12" s="86"/>
      <c r="D12" s="86"/>
      <c r="E12" s="86"/>
      <c r="F12" s="86"/>
      <c r="G12" s="86"/>
      <c r="H12" s="86"/>
      <c r="I12" s="86"/>
      <c r="J12" s="86"/>
      <c r="K12" s="86"/>
      <c r="L12" s="86"/>
      <c r="M12" s="86"/>
    </row>
    <row r="13" spans="1:13">
      <c r="A13" s="86" t="s">
        <v>214</v>
      </c>
      <c r="B13" s="112" t="s">
        <v>567</v>
      </c>
      <c r="C13" s="112"/>
      <c r="D13" s="112"/>
      <c r="E13" s="112"/>
      <c r="F13" s="112"/>
      <c r="G13" s="112"/>
      <c r="H13" s="112"/>
      <c r="I13" s="112"/>
      <c r="J13" s="112"/>
      <c r="K13" s="112"/>
      <c r="L13" s="112"/>
      <c r="M13" s="86"/>
    </row>
    <row r="14" spans="1:13">
      <c r="A14" s="86" t="s">
        <v>216</v>
      </c>
      <c r="B14" s="112" t="s">
        <v>804</v>
      </c>
      <c r="C14" s="112"/>
      <c r="D14" s="112"/>
      <c r="E14" s="112"/>
      <c r="F14" s="112"/>
      <c r="G14" s="112"/>
      <c r="H14" s="112"/>
      <c r="I14" s="112"/>
      <c r="J14" s="112"/>
      <c r="K14" s="112"/>
      <c r="L14" s="112"/>
      <c r="M14" s="86"/>
    </row>
    <row r="15" spans="1:13" ht="40.5" customHeight="1">
      <c r="A15" s="86"/>
      <c r="B15" s="116" t="s">
        <v>805</v>
      </c>
      <c r="C15" s="116"/>
      <c r="D15" s="116"/>
      <c r="E15" s="116"/>
      <c r="F15" s="116"/>
      <c r="G15" s="116"/>
      <c r="H15" s="116"/>
      <c r="I15" s="116"/>
      <c r="J15" s="116"/>
      <c r="K15" s="116"/>
      <c r="L15" s="116"/>
      <c r="M15" s="86"/>
    </row>
    <row r="16" spans="1:13">
      <c r="A16" s="86" t="s">
        <v>216</v>
      </c>
      <c r="B16" s="112" t="s">
        <v>568</v>
      </c>
      <c r="C16" s="112"/>
      <c r="D16" s="112"/>
      <c r="E16" s="112"/>
      <c r="F16" s="112"/>
      <c r="G16" s="112"/>
      <c r="H16" s="112"/>
      <c r="I16" s="112"/>
      <c r="J16" s="112"/>
      <c r="K16" s="112"/>
      <c r="L16" s="112"/>
      <c r="M16" s="86"/>
    </row>
    <row r="17" spans="1:13">
      <c r="A17" s="86"/>
      <c r="B17" s="85"/>
      <c r="C17" s="86"/>
      <c r="D17" s="86"/>
      <c r="E17" s="86"/>
      <c r="F17" s="86"/>
      <c r="G17" s="86"/>
      <c r="H17" s="86"/>
      <c r="I17" s="86"/>
      <c r="J17" s="86"/>
      <c r="K17" s="86"/>
      <c r="L17" s="86"/>
      <c r="M17" s="86"/>
    </row>
    <row r="18" spans="1:13">
      <c r="A18" s="86"/>
      <c r="B18" s="85"/>
      <c r="C18" s="86"/>
      <c r="D18" s="86"/>
      <c r="E18" s="86"/>
      <c r="F18" s="86"/>
      <c r="G18" s="86"/>
      <c r="H18" s="86"/>
      <c r="I18" s="86"/>
      <c r="J18" s="86"/>
      <c r="K18" s="86"/>
      <c r="L18" s="86"/>
      <c r="M18" s="86"/>
    </row>
    <row r="19" spans="1:13">
      <c r="A19" s="90" t="str">
        <f>HYPERLINK("[UKMY 2023 PrintableV1.1 12_09_24.xlsx]Contents!A1","Return to contents page")</f>
        <v>Return to contents page</v>
      </c>
      <c r="B19" s="85"/>
      <c r="C19" s="86"/>
      <c r="D19" s="86"/>
      <c r="E19" s="86"/>
      <c r="F19" s="86"/>
      <c r="G19" s="86"/>
      <c r="H19" s="86"/>
      <c r="I19" s="86"/>
      <c r="J19" s="86"/>
      <c r="K19" s="86"/>
      <c r="L19" s="86"/>
      <c r="M19" s="86"/>
    </row>
    <row r="64" spans="5:5">
      <c r="E64" s="78"/>
    </row>
  </sheetData>
  <mergeCells count="4">
    <mergeCell ref="B15:L15"/>
    <mergeCell ref="B13:L13"/>
    <mergeCell ref="B14:L14"/>
    <mergeCell ref="B16:L16"/>
  </mergeCells>
  <pageMargins left="0.7" right="0.7" top="0.75" bottom="0.75" header="0.3" footer="0.3"/>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207A8-C204-488F-AAE2-CFCE4D1AAC59}">
  <dimension ref="A1:Q64"/>
  <sheetViews>
    <sheetView view="pageBreakPreview" zoomScaleNormal="100" zoomScaleSheetLayoutView="100" workbookViewId="0">
      <selection activeCell="H11" sqref="H11"/>
    </sheetView>
  </sheetViews>
  <sheetFormatPr defaultColWidth="9.1796875" defaultRowHeight="14"/>
  <cols>
    <col min="1" max="1" width="6" style="73" customWidth="1"/>
    <col min="2" max="2" width="3.81640625" style="73" customWidth="1"/>
    <col min="3" max="3" width="11.54296875" style="73" customWidth="1"/>
    <col min="4" max="4" width="3.54296875" style="73" customWidth="1"/>
    <col min="5" max="5" width="12.453125" style="73" customWidth="1"/>
    <col min="6" max="6" width="3.1796875" style="73" customWidth="1"/>
    <col min="7" max="7" width="11.54296875" style="73" customWidth="1"/>
    <col min="8" max="8" width="3.7265625" style="73" customWidth="1"/>
    <col min="9" max="9" width="11.54296875" style="73" customWidth="1"/>
    <col min="10" max="10" width="4.1796875" style="73" customWidth="1"/>
    <col min="11" max="11" width="11.54296875" style="73" customWidth="1"/>
    <col min="12" max="12" width="3.26953125" style="73" customWidth="1"/>
    <col min="13" max="13" width="10.7265625" style="73" customWidth="1"/>
    <col min="14" max="14" width="3.26953125" style="73" customWidth="1"/>
    <col min="15" max="15" width="8.26953125" style="73" bestFit="1" customWidth="1"/>
    <col min="16" max="16" width="5.453125" style="73" bestFit="1" customWidth="1"/>
    <col min="17" max="17" width="14.81640625" style="73" customWidth="1"/>
    <col min="18" max="18" width="13.7265625" style="73" bestFit="1" customWidth="1"/>
    <col min="19" max="16384" width="9.1796875" style="73"/>
  </cols>
  <sheetData>
    <row r="1" spans="1:17" ht="15.5">
      <c r="A1" s="93" t="s">
        <v>843</v>
      </c>
      <c r="Q1" s="94" t="s">
        <v>842</v>
      </c>
    </row>
    <row r="2" spans="1:17" s="79" customFormat="1" ht="56">
      <c r="A2" s="80" t="s">
        <v>309</v>
      </c>
      <c r="B2" s="80" t="s">
        <v>1</v>
      </c>
      <c r="C2" s="80" t="s">
        <v>569</v>
      </c>
      <c r="D2" s="80" t="s">
        <v>1</v>
      </c>
      <c r="E2" s="80" t="s">
        <v>570</v>
      </c>
      <c r="F2" s="80" t="s">
        <v>1</v>
      </c>
      <c r="G2" s="80" t="s">
        <v>754</v>
      </c>
      <c r="H2" s="80" t="s">
        <v>1</v>
      </c>
      <c r="I2" s="80" t="s">
        <v>756</v>
      </c>
      <c r="J2" s="80" t="s">
        <v>1</v>
      </c>
      <c r="K2" s="80" t="s">
        <v>755</v>
      </c>
      <c r="L2" s="80" t="s">
        <v>1</v>
      </c>
      <c r="M2" s="80" t="s">
        <v>757</v>
      </c>
      <c r="N2" s="80" t="s">
        <v>1</v>
      </c>
      <c r="O2" s="80" t="s">
        <v>758</v>
      </c>
      <c r="P2" s="80" t="s">
        <v>1</v>
      </c>
      <c r="Q2" s="80" t="s">
        <v>571</v>
      </c>
    </row>
    <row r="3" spans="1:17">
      <c r="A3" s="95">
        <v>2022</v>
      </c>
      <c r="B3" s="73" t="s">
        <v>96</v>
      </c>
      <c r="C3" s="73">
        <v>38.1</v>
      </c>
      <c r="D3" s="73" t="s">
        <v>572</v>
      </c>
      <c r="E3" s="73">
        <v>2.2999999999999998</v>
      </c>
      <c r="G3" s="73">
        <v>40.4</v>
      </c>
      <c r="H3" s="73" t="s">
        <v>98</v>
      </c>
      <c r="I3" s="73">
        <v>13.9</v>
      </c>
      <c r="J3" s="73" t="s">
        <v>98</v>
      </c>
      <c r="K3" s="73">
        <v>4.7</v>
      </c>
      <c r="M3" s="73">
        <v>18.600000000000001</v>
      </c>
      <c r="O3" s="73">
        <v>59.1</v>
      </c>
      <c r="P3" s="73" t="s">
        <v>573</v>
      </c>
      <c r="Q3" s="73">
        <v>1.8</v>
      </c>
    </row>
    <row r="4" spans="1:17">
      <c r="A4" s="95">
        <v>2021</v>
      </c>
      <c r="B4" s="73" t="s">
        <v>96</v>
      </c>
      <c r="C4" s="73">
        <v>43.2</v>
      </c>
      <c r="D4" s="73" t="s">
        <v>53</v>
      </c>
      <c r="E4" s="73">
        <v>2.8</v>
      </c>
      <c r="G4" s="73">
        <v>46</v>
      </c>
      <c r="H4" s="73" t="s">
        <v>98</v>
      </c>
      <c r="I4" s="73">
        <v>14.2</v>
      </c>
      <c r="J4" s="73" t="s">
        <v>98</v>
      </c>
      <c r="K4" s="73">
        <v>4.3</v>
      </c>
      <c r="M4" s="73">
        <v>18.5</v>
      </c>
      <c r="O4" s="73">
        <v>64.5</v>
      </c>
      <c r="P4" s="73" t="s">
        <v>573</v>
      </c>
      <c r="Q4" s="73">
        <v>2.1</v>
      </c>
    </row>
    <row r="5" spans="1:17">
      <c r="A5" s="95">
        <v>2020</v>
      </c>
      <c r="B5" s="73" t="s">
        <v>96</v>
      </c>
      <c r="C5" s="73">
        <v>38.6</v>
      </c>
      <c r="D5" s="73" t="s">
        <v>53</v>
      </c>
      <c r="E5" s="73">
        <v>2.5</v>
      </c>
      <c r="G5" s="73">
        <v>41.1</v>
      </c>
      <c r="H5" s="73" t="s">
        <v>98</v>
      </c>
      <c r="I5" s="73">
        <v>12.1</v>
      </c>
      <c r="J5" s="73" t="s">
        <v>98</v>
      </c>
      <c r="K5" s="73">
        <v>4.3</v>
      </c>
      <c r="M5" s="73">
        <v>16.399999999999999</v>
      </c>
      <c r="O5" s="73">
        <v>57.5</v>
      </c>
      <c r="P5" s="73" t="s">
        <v>573</v>
      </c>
      <c r="Q5" s="73">
        <v>1.6</v>
      </c>
    </row>
    <row r="6" spans="1:17">
      <c r="A6" s="95">
        <v>2019</v>
      </c>
      <c r="B6" s="73" t="s">
        <v>96</v>
      </c>
      <c r="C6" s="73">
        <v>44.5</v>
      </c>
      <c r="D6" s="73" t="s">
        <v>572</v>
      </c>
      <c r="E6" s="73">
        <v>3.1</v>
      </c>
      <c r="G6" s="73">
        <v>47.6</v>
      </c>
      <c r="H6" s="73" t="s">
        <v>98</v>
      </c>
      <c r="I6" s="73">
        <v>13.4</v>
      </c>
      <c r="J6" s="73" t="s">
        <v>98</v>
      </c>
      <c r="K6" s="73">
        <v>4.7</v>
      </c>
      <c r="M6" s="73">
        <v>18.100000000000001</v>
      </c>
      <c r="O6" s="73">
        <v>65.7</v>
      </c>
      <c r="P6" s="73" t="s">
        <v>573</v>
      </c>
      <c r="Q6" s="73">
        <v>3.9</v>
      </c>
    </row>
    <row r="7" spans="1:17">
      <c r="A7" s="95">
        <v>2018</v>
      </c>
      <c r="B7" s="73" t="s">
        <v>96</v>
      </c>
      <c r="C7" s="73">
        <v>48.9</v>
      </c>
      <c r="D7" s="73" t="s">
        <v>53</v>
      </c>
      <c r="E7" s="73">
        <v>3.2</v>
      </c>
      <c r="G7" s="73">
        <v>52.1</v>
      </c>
      <c r="H7" s="73" t="s">
        <v>98</v>
      </c>
      <c r="I7" s="73">
        <v>13.7</v>
      </c>
      <c r="J7" s="73" t="s">
        <v>41</v>
      </c>
      <c r="K7" s="73">
        <v>4.0999999999999996</v>
      </c>
      <c r="M7" s="73">
        <v>17.8</v>
      </c>
      <c r="O7" s="73">
        <v>69.900000000000006</v>
      </c>
      <c r="P7" s="73" t="s">
        <v>573</v>
      </c>
      <c r="Q7" s="73">
        <v>2.1</v>
      </c>
    </row>
    <row r="8" spans="1:17">
      <c r="A8" s="76"/>
      <c r="B8" s="76"/>
      <c r="C8" s="76"/>
      <c r="D8" s="76"/>
      <c r="E8" s="76"/>
      <c r="F8" s="76"/>
      <c r="G8" s="76"/>
      <c r="H8" s="76"/>
      <c r="I8" s="76"/>
      <c r="J8" s="76"/>
      <c r="K8" s="76"/>
      <c r="L8" s="76"/>
      <c r="M8" s="76"/>
      <c r="N8" s="76"/>
      <c r="O8" s="76"/>
      <c r="P8" s="76"/>
      <c r="Q8" s="76"/>
    </row>
    <row r="10" spans="1:17">
      <c r="A10" s="73" t="s">
        <v>14</v>
      </c>
      <c r="B10" s="73" t="s">
        <v>15</v>
      </c>
    </row>
    <row r="11" spans="1:17">
      <c r="A11" s="73" t="s">
        <v>69</v>
      </c>
      <c r="B11" s="73" t="s">
        <v>574</v>
      </c>
    </row>
    <row r="12" spans="1:17">
      <c r="A12" s="73" t="s">
        <v>71</v>
      </c>
      <c r="B12" s="73" t="s">
        <v>575</v>
      </c>
    </row>
    <row r="13" spans="1:17">
      <c r="A13" s="73" t="s">
        <v>118</v>
      </c>
      <c r="B13" s="73" t="s">
        <v>576</v>
      </c>
    </row>
    <row r="14" spans="1:17">
      <c r="A14" s="73" t="s">
        <v>142</v>
      </c>
      <c r="B14" s="73" t="s">
        <v>121</v>
      </c>
    </row>
    <row r="15" spans="1:17">
      <c r="A15" s="73" t="s">
        <v>120</v>
      </c>
      <c r="B15" s="73" t="s">
        <v>577</v>
      </c>
    </row>
    <row r="16" spans="1:17" ht="30" customHeight="1">
      <c r="A16" s="73" t="s">
        <v>122</v>
      </c>
      <c r="B16" s="113" t="s">
        <v>806</v>
      </c>
      <c r="C16" s="113"/>
      <c r="D16" s="113"/>
      <c r="E16" s="113"/>
      <c r="F16" s="113"/>
      <c r="G16" s="113"/>
      <c r="H16" s="113"/>
      <c r="I16" s="113"/>
      <c r="J16" s="113"/>
      <c r="K16" s="113"/>
      <c r="L16" s="113"/>
      <c r="M16" s="113"/>
      <c r="N16" s="113"/>
      <c r="O16" s="113"/>
      <c r="P16" s="113"/>
    </row>
    <row r="19" spans="1:1">
      <c r="A19" s="77" t="str">
        <f>HYPERLINK("[UKMY 2023 PrintableV1.1 12_09_24.xlsx]Contents!A1","Return to contents page")</f>
        <v>Return to contents page</v>
      </c>
    </row>
    <row r="64" spans="5:5">
      <c r="E64" s="78"/>
    </row>
  </sheetData>
  <mergeCells count="1">
    <mergeCell ref="B16:P16"/>
  </mergeCells>
  <pageMargins left="0.7" right="0.7" top="0.75" bottom="0.75" header="0.3" footer="0.3"/>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5A66C-6D6C-47CC-81CD-D3287902042D}">
  <dimension ref="A1:Y64"/>
  <sheetViews>
    <sheetView view="pageBreakPreview" zoomScaleNormal="100" zoomScaleSheetLayoutView="100" workbookViewId="0">
      <selection activeCell="Y1" sqref="Y1"/>
    </sheetView>
  </sheetViews>
  <sheetFormatPr defaultColWidth="9.1796875" defaultRowHeight="14"/>
  <cols>
    <col min="1" max="1" width="6.453125" style="73" customWidth="1"/>
    <col min="2" max="2" width="2.54296875" style="73" customWidth="1"/>
    <col min="3" max="3" width="7.54296875" style="73" bestFit="1" customWidth="1"/>
    <col min="4" max="4" width="2.1796875" style="73" bestFit="1" customWidth="1"/>
    <col min="5" max="5" width="7.54296875" style="73" bestFit="1" customWidth="1"/>
    <col min="6" max="6" width="2.1796875" style="73" bestFit="1" customWidth="1"/>
    <col min="7" max="7" width="7.54296875" style="73" bestFit="1" customWidth="1"/>
    <col min="8" max="8" width="2.1796875" style="73" bestFit="1" customWidth="1"/>
    <col min="9" max="9" width="7.54296875" style="73" bestFit="1" customWidth="1"/>
    <col min="10" max="10" width="2.1796875" style="73" bestFit="1" customWidth="1"/>
    <col min="11" max="11" width="7.54296875" style="73" bestFit="1" customWidth="1"/>
    <col min="12" max="12" width="2.1796875" style="73" bestFit="1" customWidth="1"/>
    <col min="13" max="13" width="8.7265625" style="73" bestFit="1" customWidth="1"/>
    <col min="14" max="14" width="5" style="73" bestFit="1" customWidth="1"/>
    <col min="15" max="15" width="8.453125" style="73" customWidth="1"/>
    <col min="16" max="16" width="2.1796875" style="73" bestFit="1" customWidth="1"/>
    <col min="17" max="17" width="7.54296875" style="73" bestFit="1" customWidth="1"/>
    <col min="18" max="18" width="2.1796875" style="73" bestFit="1" customWidth="1"/>
    <col min="19" max="19" width="8.7265625" style="73" bestFit="1" customWidth="1"/>
    <col min="20" max="20" width="2.1796875" style="73" bestFit="1" customWidth="1"/>
    <col min="21" max="21" width="7.54296875" style="73" bestFit="1" customWidth="1"/>
    <col min="22" max="22" width="2.1796875" style="73" bestFit="1" customWidth="1"/>
    <col min="23" max="23" width="7.54296875" style="73" bestFit="1" customWidth="1"/>
    <col min="24" max="24" width="2.1796875" style="73" bestFit="1" customWidth="1"/>
    <col min="25" max="25" width="8.54296875" style="73" customWidth="1"/>
    <col min="26" max="26" width="16.453125" style="73" bestFit="1" customWidth="1"/>
    <col min="27" max="16384" width="9.1796875" style="73"/>
  </cols>
  <sheetData>
    <row r="1" spans="1:25" ht="15.5">
      <c r="A1" s="93" t="s">
        <v>844</v>
      </c>
      <c r="Y1" s="94" t="s">
        <v>834</v>
      </c>
    </row>
    <row r="2" spans="1:25" s="79" customFormat="1" ht="72" customHeight="1">
      <c r="A2" s="80" t="s">
        <v>309</v>
      </c>
      <c r="B2" s="80" t="s">
        <v>1</v>
      </c>
      <c r="C2" s="98" t="s">
        <v>350</v>
      </c>
      <c r="D2" s="80" t="s">
        <v>1</v>
      </c>
      <c r="E2" s="98" t="s">
        <v>705</v>
      </c>
      <c r="F2" s="80" t="s">
        <v>1</v>
      </c>
      <c r="G2" s="98" t="s">
        <v>706</v>
      </c>
      <c r="H2" s="80" t="s">
        <v>1</v>
      </c>
      <c r="I2" s="98" t="s">
        <v>198</v>
      </c>
      <c r="J2" s="80" t="s">
        <v>1</v>
      </c>
      <c r="K2" s="98" t="s">
        <v>155</v>
      </c>
      <c r="L2" s="80" t="s">
        <v>1</v>
      </c>
      <c r="M2" s="98" t="s">
        <v>197</v>
      </c>
      <c r="N2" s="80" t="s">
        <v>1</v>
      </c>
      <c r="O2" s="98" t="s">
        <v>707</v>
      </c>
      <c r="P2" s="80" t="s">
        <v>1</v>
      </c>
      <c r="Q2" s="98" t="s">
        <v>708</v>
      </c>
      <c r="R2" s="80" t="s">
        <v>1</v>
      </c>
      <c r="S2" s="98" t="s">
        <v>351</v>
      </c>
      <c r="T2" s="80" t="s">
        <v>1</v>
      </c>
      <c r="U2" s="98" t="s">
        <v>157</v>
      </c>
      <c r="V2" s="80" t="s">
        <v>1</v>
      </c>
      <c r="W2" s="98" t="s">
        <v>158</v>
      </c>
      <c r="X2" s="80" t="s">
        <v>1</v>
      </c>
      <c r="Y2" s="98" t="s">
        <v>709</v>
      </c>
    </row>
    <row r="3" spans="1:25">
      <c r="A3" s="95">
        <v>2022</v>
      </c>
      <c r="C3" s="99">
        <v>1632</v>
      </c>
      <c r="D3" s="99"/>
      <c r="E3" s="99">
        <v>1796</v>
      </c>
      <c r="F3" s="99"/>
      <c r="G3" s="99">
        <v>2148</v>
      </c>
      <c r="H3" s="99"/>
      <c r="I3" s="99">
        <v>6866</v>
      </c>
      <c r="J3" s="99"/>
      <c r="K3" s="99">
        <v>6055</v>
      </c>
      <c r="L3" s="99"/>
      <c r="M3" s="99">
        <v>10454</v>
      </c>
      <c r="N3" s="99" t="s">
        <v>572</v>
      </c>
      <c r="O3" s="99">
        <v>13661</v>
      </c>
      <c r="P3" s="99"/>
      <c r="Q3" s="99">
        <v>3068</v>
      </c>
      <c r="R3" s="99"/>
      <c r="S3" s="99">
        <v>45680</v>
      </c>
      <c r="T3" s="99"/>
      <c r="U3" s="99">
        <v>1933</v>
      </c>
      <c r="V3" s="99"/>
      <c r="W3" s="99">
        <v>4484</v>
      </c>
      <c r="X3" s="99"/>
      <c r="Y3" s="99">
        <v>52097</v>
      </c>
    </row>
    <row r="4" spans="1:25">
      <c r="A4" s="95">
        <v>2021</v>
      </c>
      <c r="C4" s="99">
        <v>1843</v>
      </c>
      <c r="D4" s="99"/>
      <c r="E4" s="99">
        <v>2040</v>
      </c>
      <c r="F4" s="99"/>
      <c r="G4" s="99">
        <v>2284</v>
      </c>
      <c r="H4" s="99"/>
      <c r="I4" s="99">
        <v>7049</v>
      </c>
      <c r="J4" s="99"/>
      <c r="K4" s="99">
        <v>6843</v>
      </c>
      <c r="L4" s="99"/>
      <c r="M4" s="99">
        <v>11807</v>
      </c>
      <c r="N4" s="99" t="s">
        <v>572</v>
      </c>
      <c r="O4" s="99">
        <v>15079</v>
      </c>
      <c r="P4" s="99"/>
      <c r="Q4" s="99">
        <v>3384</v>
      </c>
      <c r="R4" s="99"/>
      <c r="S4" s="99">
        <v>50329</v>
      </c>
      <c r="T4" s="99"/>
      <c r="U4" s="99">
        <v>1899</v>
      </c>
      <c r="V4" s="99"/>
      <c r="W4" s="99">
        <v>5240</v>
      </c>
      <c r="X4" s="99"/>
      <c r="Y4" s="99">
        <v>57468</v>
      </c>
    </row>
    <row r="5" spans="1:25">
      <c r="A5" s="95">
        <v>2020</v>
      </c>
      <c r="C5" s="99">
        <v>1257</v>
      </c>
      <c r="D5" s="99"/>
      <c r="E5" s="99">
        <v>1753</v>
      </c>
      <c r="F5" s="99"/>
      <c r="G5" s="99">
        <v>2093</v>
      </c>
      <c r="H5" s="99"/>
      <c r="I5" s="99">
        <v>6252</v>
      </c>
      <c r="J5" s="99"/>
      <c r="K5" s="99">
        <v>5373</v>
      </c>
      <c r="L5" s="99"/>
      <c r="M5" s="99">
        <v>10257</v>
      </c>
      <c r="N5" s="99" t="s">
        <v>572</v>
      </c>
      <c r="O5" s="99">
        <v>13954</v>
      </c>
      <c r="P5" s="99"/>
      <c r="Q5" s="99">
        <v>3198</v>
      </c>
      <c r="R5" s="99"/>
      <c r="S5" s="99">
        <v>44137</v>
      </c>
      <c r="T5" s="99"/>
      <c r="U5" s="99">
        <v>1830</v>
      </c>
      <c r="V5" s="99"/>
      <c r="W5" s="99">
        <v>4758</v>
      </c>
      <c r="X5" s="99"/>
      <c r="Y5" s="99">
        <v>50725</v>
      </c>
    </row>
    <row r="6" spans="1:25">
      <c r="A6" s="95">
        <v>2019</v>
      </c>
      <c r="C6" s="99">
        <v>1820</v>
      </c>
      <c r="D6" s="99"/>
      <c r="E6" s="99">
        <v>2335</v>
      </c>
      <c r="F6" s="99"/>
      <c r="G6" s="99">
        <v>2312</v>
      </c>
      <c r="H6" s="99"/>
      <c r="I6" s="99">
        <v>6476</v>
      </c>
      <c r="J6" s="99"/>
      <c r="K6" s="99">
        <v>7063</v>
      </c>
      <c r="L6" s="99"/>
      <c r="M6" s="99">
        <v>11125</v>
      </c>
      <c r="N6" s="99" t="s">
        <v>572</v>
      </c>
      <c r="O6" s="99">
        <v>15916</v>
      </c>
      <c r="P6" s="99"/>
      <c r="Q6" s="99">
        <v>3433</v>
      </c>
      <c r="R6" s="99"/>
      <c r="S6" s="99">
        <v>50480</v>
      </c>
      <c r="T6" s="99"/>
      <c r="U6" s="99">
        <v>1810</v>
      </c>
      <c r="V6" s="99"/>
      <c r="W6" s="99">
        <v>5630</v>
      </c>
      <c r="X6" s="99"/>
      <c r="Y6" s="99">
        <v>57920</v>
      </c>
    </row>
    <row r="7" spans="1:25">
      <c r="A7" s="95">
        <v>2018</v>
      </c>
      <c r="C7" s="99">
        <v>1935</v>
      </c>
      <c r="D7" s="99"/>
      <c r="E7" s="99">
        <v>3132</v>
      </c>
      <c r="F7" s="99"/>
      <c r="G7" s="99">
        <v>2803</v>
      </c>
      <c r="H7" s="99"/>
      <c r="I7" s="99">
        <v>6160</v>
      </c>
      <c r="J7" s="99"/>
      <c r="K7" s="99">
        <v>6153</v>
      </c>
      <c r="L7" s="99"/>
      <c r="M7" s="99">
        <v>14027</v>
      </c>
      <c r="N7" s="99" t="s">
        <v>572</v>
      </c>
      <c r="O7" s="99">
        <v>18041</v>
      </c>
      <c r="P7" s="99"/>
      <c r="Q7" s="99">
        <v>3231</v>
      </c>
      <c r="R7" s="99"/>
      <c r="S7" s="99">
        <v>55482</v>
      </c>
      <c r="T7" s="99"/>
      <c r="U7" s="99">
        <v>1517</v>
      </c>
      <c r="V7" s="99"/>
      <c r="W7" s="99">
        <v>5599</v>
      </c>
      <c r="X7" s="99"/>
      <c r="Y7" s="99">
        <v>62598</v>
      </c>
    </row>
    <row r="8" spans="1:25" s="76" customFormat="1"/>
    <row r="10" spans="1:25">
      <c r="A10" s="73" t="s">
        <v>14</v>
      </c>
      <c r="B10" s="73" t="s">
        <v>15</v>
      </c>
    </row>
    <row r="11" spans="1:25">
      <c r="A11" s="73" t="s">
        <v>142</v>
      </c>
      <c r="B11" s="73" t="s">
        <v>578</v>
      </c>
    </row>
    <row r="13" spans="1:25">
      <c r="A13" s="73" t="s">
        <v>579</v>
      </c>
    </row>
    <row r="14" spans="1:25" ht="30.75" customHeight="1">
      <c r="A14" s="113" t="s">
        <v>789</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row>
    <row r="15" spans="1:25">
      <c r="A15" s="73" t="s">
        <v>580</v>
      </c>
    </row>
    <row r="18" spans="1:1">
      <c r="A18" s="77" t="str">
        <f>HYPERLINK("[UKMY 2023 PrintableV1.1 12_09_24.xlsx]Contents!A1","Return to contents page")</f>
        <v>Return to contents page</v>
      </c>
    </row>
    <row r="64" spans="5:5">
      <c r="E64" s="78"/>
    </row>
  </sheetData>
  <mergeCells count="1">
    <mergeCell ref="A14:X14"/>
  </mergeCells>
  <pageMargins left="0.7" right="0.7" top="0.75" bottom="0.75" header="0.3" footer="0.3"/>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B49B8-6087-41BF-BC38-817C2B8C907F}">
  <dimension ref="A1:M64"/>
  <sheetViews>
    <sheetView view="pageBreakPreview" zoomScaleNormal="100" zoomScaleSheetLayoutView="100" workbookViewId="0">
      <selection activeCell="B5" sqref="B5"/>
    </sheetView>
  </sheetViews>
  <sheetFormatPr defaultColWidth="9.1796875" defaultRowHeight="14"/>
  <cols>
    <col min="1" max="1" width="21.1796875" style="73" customWidth="1"/>
    <col min="2" max="2" width="26.26953125" style="73" bestFit="1" customWidth="1"/>
    <col min="3" max="3" width="15.26953125" style="73" bestFit="1" customWidth="1"/>
    <col min="4" max="4" width="2.1796875" style="73" bestFit="1" customWidth="1"/>
    <col min="5" max="5" width="6.1796875" style="73" bestFit="1" customWidth="1"/>
    <col min="6" max="6" width="2.1796875" style="73" bestFit="1" customWidth="1"/>
    <col min="7" max="7" width="6.1796875" style="73" bestFit="1" customWidth="1"/>
    <col min="8" max="8" width="2.1796875" style="73" bestFit="1" customWidth="1"/>
    <col min="9" max="9" width="6.1796875" style="73" bestFit="1" customWidth="1"/>
    <col min="10" max="10" width="2.1796875" style="73" bestFit="1" customWidth="1"/>
    <col min="11" max="11" width="5.54296875" style="73" bestFit="1" customWidth="1"/>
    <col min="12" max="12" width="2.1796875" style="73" bestFit="1" customWidth="1"/>
    <col min="13" max="13" width="6.1796875" style="73" bestFit="1" customWidth="1"/>
    <col min="14" max="16384" width="9.1796875" style="73"/>
  </cols>
  <sheetData>
    <row r="1" spans="1:13" ht="15.5">
      <c r="A1" s="72" t="s">
        <v>582</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583</v>
      </c>
      <c r="C3" s="73" t="s">
        <v>829</v>
      </c>
      <c r="E3" s="75">
        <v>2284</v>
      </c>
      <c r="G3" s="75">
        <v>2297</v>
      </c>
      <c r="I3" s="75">
        <v>1154</v>
      </c>
      <c r="K3" s="73">
        <v>872</v>
      </c>
      <c r="M3" s="75">
        <v>1063</v>
      </c>
    </row>
    <row r="4" spans="1:13">
      <c r="A4" s="73" t="s">
        <v>19</v>
      </c>
      <c r="B4" s="73" t="s">
        <v>583</v>
      </c>
      <c r="C4" s="73" t="s">
        <v>201</v>
      </c>
      <c r="E4" s="73">
        <v>244</v>
      </c>
      <c r="G4" s="73">
        <v>261</v>
      </c>
      <c r="I4" s="73">
        <v>127</v>
      </c>
      <c r="K4" s="73">
        <v>258</v>
      </c>
      <c r="M4" s="73">
        <v>52</v>
      </c>
    </row>
    <row r="6" spans="1:13">
      <c r="A6" s="73" t="s">
        <v>20</v>
      </c>
      <c r="B6" s="73" t="s">
        <v>583</v>
      </c>
      <c r="C6" s="73" t="s">
        <v>829</v>
      </c>
      <c r="E6" s="73">
        <v>655</v>
      </c>
      <c r="G6" s="75">
        <v>1063</v>
      </c>
      <c r="I6" s="73">
        <v>759</v>
      </c>
      <c r="K6" s="73">
        <v>544</v>
      </c>
      <c r="M6" s="73">
        <v>192</v>
      </c>
    </row>
    <row r="7" spans="1:13">
      <c r="A7" s="73" t="s">
        <v>20</v>
      </c>
      <c r="B7" s="73" t="s">
        <v>583</v>
      </c>
      <c r="C7" s="73" t="s">
        <v>201</v>
      </c>
      <c r="E7" s="73">
        <v>23</v>
      </c>
      <c r="G7" s="73">
        <v>57</v>
      </c>
      <c r="I7" s="73">
        <v>21</v>
      </c>
      <c r="K7" s="73">
        <v>23</v>
      </c>
      <c r="M7" s="73">
        <v>3</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C7173-C7E6-4F01-8CB4-C8E0ABEB47AE}">
  <dimension ref="A1:M64"/>
  <sheetViews>
    <sheetView view="pageBreakPreview" zoomScaleNormal="100" zoomScaleSheetLayoutView="100" workbookViewId="0">
      <selection activeCell="A15" sqref="A15"/>
    </sheetView>
  </sheetViews>
  <sheetFormatPr defaultColWidth="9.1796875" defaultRowHeight="14"/>
  <cols>
    <col min="1" max="1" width="21.453125" style="73" customWidth="1"/>
    <col min="2" max="2" width="26.26953125" style="73" bestFit="1" customWidth="1"/>
    <col min="3" max="3" width="15.26953125" style="73" bestFit="1" customWidth="1"/>
    <col min="4" max="4" width="3.453125" style="73" bestFit="1" customWidth="1"/>
    <col min="5" max="5" width="10.1796875" style="73" bestFit="1" customWidth="1"/>
    <col min="6" max="6" width="3.453125" style="73" bestFit="1" customWidth="1"/>
    <col min="7" max="7" width="10.1796875" style="73" bestFit="1" customWidth="1"/>
    <col min="8" max="8" width="3.453125" style="73" bestFit="1" customWidth="1"/>
    <col min="9" max="9" width="10.1796875" style="73" bestFit="1" customWidth="1"/>
    <col min="10" max="10" width="3.453125" style="73" bestFit="1" customWidth="1"/>
    <col min="11" max="11" width="10.1796875" style="73" bestFit="1" customWidth="1"/>
    <col min="12" max="12" width="3.453125" style="73" bestFit="1" customWidth="1"/>
    <col min="13" max="13" width="10.1796875" style="73" bestFit="1" customWidth="1"/>
    <col min="14" max="16384" width="9.1796875" style="73"/>
  </cols>
  <sheetData>
    <row r="1" spans="1:13" ht="15.5">
      <c r="A1" s="72" t="s">
        <v>584</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728</v>
      </c>
      <c r="C3" s="73" t="s">
        <v>201</v>
      </c>
      <c r="D3" s="73" t="s">
        <v>205</v>
      </c>
      <c r="E3" s="75">
        <v>4890490</v>
      </c>
      <c r="F3" s="73" t="s">
        <v>205</v>
      </c>
      <c r="G3" s="75">
        <v>5136383</v>
      </c>
      <c r="H3" s="73" t="s">
        <v>205</v>
      </c>
      <c r="I3" s="75">
        <v>5336805</v>
      </c>
      <c r="J3" s="73" t="s">
        <v>205</v>
      </c>
      <c r="K3" s="75">
        <v>4870379</v>
      </c>
      <c r="L3" s="73" t="s">
        <v>205</v>
      </c>
      <c r="M3" s="75">
        <v>4931322</v>
      </c>
    </row>
    <row r="5" spans="1:13">
      <c r="A5" s="73" t="s">
        <v>19</v>
      </c>
      <c r="B5" s="73" t="s">
        <v>585</v>
      </c>
      <c r="C5" s="73" t="s">
        <v>829</v>
      </c>
      <c r="E5" s="75">
        <v>10545</v>
      </c>
      <c r="G5" s="75">
        <v>12355</v>
      </c>
      <c r="I5" s="75">
        <v>11791</v>
      </c>
      <c r="K5" s="75">
        <v>19950</v>
      </c>
      <c r="M5" s="75">
        <v>29825</v>
      </c>
    </row>
    <row r="6" spans="1:13">
      <c r="A6" s="73" t="s">
        <v>19</v>
      </c>
      <c r="B6" s="73" t="s">
        <v>585</v>
      </c>
      <c r="C6" s="73" t="s">
        <v>201</v>
      </c>
      <c r="E6" s="75">
        <v>139980</v>
      </c>
      <c r="G6" s="75">
        <v>203569</v>
      </c>
      <c r="I6" s="75">
        <v>111684</v>
      </c>
      <c r="K6" s="75">
        <v>400200</v>
      </c>
      <c r="M6" s="75">
        <v>202825</v>
      </c>
    </row>
    <row r="8" spans="1:13">
      <c r="A8" s="73" t="s">
        <v>20</v>
      </c>
      <c r="B8" s="73" t="s">
        <v>585</v>
      </c>
      <c r="C8" s="73" t="s">
        <v>829</v>
      </c>
      <c r="E8" s="75">
        <v>3948</v>
      </c>
      <c r="G8" s="75">
        <v>4006</v>
      </c>
      <c r="I8" s="75">
        <v>4773</v>
      </c>
      <c r="K8" s="75">
        <v>4555</v>
      </c>
      <c r="M8" s="75">
        <v>5372</v>
      </c>
    </row>
    <row r="9" spans="1:13">
      <c r="A9" s="73" t="s">
        <v>20</v>
      </c>
      <c r="B9" s="73" t="s">
        <v>585</v>
      </c>
      <c r="C9" s="73" t="s">
        <v>201</v>
      </c>
      <c r="E9" s="75">
        <v>83315</v>
      </c>
      <c r="G9" s="75">
        <v>270849</v>
      </c>
      <c r="I9" s="75">
        <v>189890</v>
      </c>
      <c r="K9" s="75">
        <v>118779</v>
      </c>
      <c r="M9" s="75">
        <v>162508</v>
      </c>
    </row>
    <row r="10" spans="1:13">
      <c r="A10" s="76"/>
      <c r="B10" s="76"/>
      <c r="C10" s="76"/>
      <c r="D10" s="76"/>
      <c r="E10" s="76"/>
      <c r="F10" s="76"/>
      <c r="G10" s="76"/>
      <c r="H10" s="76"/>
      <c r="I10" s="76"/>
      <c r="J10" s="76"/>
      <c r="K10" s="76"/>
      <c r="L10" s="76"/>
      <c r="M10" s="76"/>
    </row>
    <row r="12" spans="1:13">
      <c r="A12" s="73" t="s">
        <v>14</v>
      </c>
      <c r="B12" s="73" t="s">
        <v>15</v>
      </c>
    </row>
    <row r="13" spans="1:13">
      <c r="A13" s="73" t="s">
        <v>214</v>
      </c>
      <c r="B13" s="73" t="s">
        <v>586</v>
      </c>
    </row>
    <row r="15" spans="1:13">
      <c r="A15" s="73" t="s">
        <v>807</v>
      </c>
    </row>
    <row r="18" spans="1:1">
      <c r="A18"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9ABAA-4460-4C0E-86FA-95FAC780E7C4}">
  <dimension ref="A1:M35"/>
  <sheetViews>
    <sheetView view="pageBreakPreview" zoomScaleNormal="100" zoomScaleSheetLayoutView="100" workbookViewId="0">
      <selection activeCell="B33" sqref="B33"/>
    </sheetView>
  </sheetViews>
  <sheetFormatPr defaultColWidth="9.1796875" defaultRowHeight="12.5"/>
  <cols>
    <col min="1" max="1" width="13.453125" style="86" customWidth="1"/>
    <col min="2" max="2" width="54.1796875" style="85" customWidth="1"/>
    <col min="3" max="3" width="14.54296875" style="86" bestFit="1" customWidth="1"/>
    <col min="4" max="4" width="2.1796875" style="86" bestFit="1" customWidth="1"/>
    <col min="5" max="5" width="7.453125" style="86" bestFit="1" customWidth="1"/>
    <col min="6" max="6" width="2.1796875" style="86" bestFit="1" customWidth="1"/>
    <col min="7" max="7" width="7.453125" style="86" bestFit="1" customWidth="1"/>
    <col min="8" max="8" width="2.1796875" style="86" bestFit="1" customWidth="1"/>
    <col min="9" max="9" width="7.453125" style="86" bestFit="1" customWidth="1"/>
    <col min="10" max="10" width="2.1796875" style="86" bestFit="1" customWidth="1"/>
    <col min="11" max="11" width="7.453125" style="86" bestFit="1" customWidth="1"/>
    <col min="12" max="12" width="2.1796875" style="86" bestFit="1" customWidth="1"/>
    <col min="13" max="13" width="7.453125" style="86" bestFit="1" customWidth="1"/>
    <col min="14" max="16384" width="9.1796875" style="86"/>
  </cols>
  <sheetData>
    <row r="1" spans="1:13" ht="14">
      <c r="A1" s="100" t="s">
        <v>587</v>
      </c>
    </row>
    <row r="2" spans="1:13">
      <c r="A2" s="83" t="s">
        <v>670</v>
      </c>
      <c r="B2" s="84" t="s">
        <v>0</v>
      </c>
      <c r="C2" s="83" t="s">
        <v>669</v>
      </c>
      <c r="D2" s="83" t="s">
        <v>1</v>
      </c>
      <c r="E2" s="83">
        <v>2018</v>
      </c>
      <c r="F2" s="83" t="s">
        <v>1</v>
      </c>
      <c r="G2" s="83">
        <v>2019</v>
      </c>
      <c r="H2" s="83" t="s">
        <v>1</v>
      </c>
      <c r="I2" s="83">
        <v>2020</v>
      </c>
      <c r="J2" s="83" t="s">
        <v>1</v>
      </c>
      <c r="K2" s="83">
        <v>2021</v>
      </c>
      <c r="L2" s="83" t="s">
        <v>1</v>
      </c>
      <c r="M2" s="83">
        <v>2022</v>
      </c>
    </row>
    <row r="3" spans="1:13">
      <c r="A3" s="86" t="s">
        <v>19</v>
      </c>
      <c r="B3" s="85" t="s">
        <v>305</v>
      </c>
      <c r="C3" s="86" t="s">
        <v>829</v>
      </c>
      <c r="E3" s="86">
        <v>12</v>
      </c>
      <c r="G3" s="86">
        <v>34</v>
      </c>
      <c r="I3" s="86">
        <v>16</v>
      </c>
      <c r="K3" s="86">
        <v>32</v>
      </c>
      <c r="M3" s="86">
        <v>112</v>
      </c>
    </row>
    <row r="4" spans="1:13">
      <c r="A4" s="86" t="s">
        <v>19</v>
      </c>
      <c r="B4" s="85" t="s">
        <v>305</v>
      </c>
      <c r="C4" s="86" t="s">
        <v>201</v>
      </c>
      <c r="E4" s="86">
        <v>1</v>
      </c>
      <c r="G4" s="86">
        <v>18</v>
      </c>
      <c r="I4" s="86">
        <v>6</v>
      </c>
      <c r="K4" s="86">
        <v>19</v>
      </c>
      <c r="M4" s="86">
        <v>63</v>
      </c>
    </row>
    <row r="5" spans="1:13">
      <c r="A5" s="86" t="s">
        <v>19</v>
      </c>
      <c r="B5" s="85" t="s">
        <v>436</v>
      </c>
      <c r="C5" s="86" t="s">
        <v>829</v>
      </c>
      <c r="E5" s="86">
        <v>326</v>
      </c>
      <c r="G5" s="86">
        <v>407</v>
      </c>
      <c r="I5" s="86">
        <v>836</v>
      </c>
      <c r="K5" s="86">
        <v>288</v>
      </c>
      <c r="M5" s="86">
        <v>201</v>
      </c>
    </row>
    <row r="6" spans="1:13">
      <c r="A6" s="86" t="s">
        <v>19</v>
      </c>
      <c r="B6" s="85" t="s">
        <v>436</v>
      </c>
      <c r="C6" s="86" t="s">
        <v>201</v>
      </c>
      <c r="E6" s="86">
        <v>457</v>
      </c>
      <c r="G6" s="86">
        <v>376</v>
      </c>
      <c r="I6" s="86">
        <v>638</v>
      </c>
      <c r="K6" s="86">
        <v>217</v>
      </c>
      <c r="M6" s="86">
        <v>101</v>
      </c>
    </row>
    <row r="7" spans="1:13">
      <c r="A7" s="86" t="s">
        <v>19</v>
      </c>
      <c r="B7" s="85" t="s">
        <v>453</v>
      </c>
      <c r="C7" s="86" t="s">
        <v>829</v>
      </c>
      <c r="E7" s="87">
        <v>30865</v>
      </c>
      <c r="G7" s="87">
        <v>29138</v>
      </c>
      <c r="I7" s="87">
        <v>22255</v>
      </c>
      <c r="K7" s="87">
        <v>31185</v>
      </c>
      <c r="M7" s="87">
        <v>43745</v>
      </c>
    </row>
    <row r="8" spans="1:13">
      <c r="A8" s="86" t="s">
        <v>19</v>
      </c>
      <c r="B8" s="85" t="s">
        <v>453</v>
      </c>
      <c r="C8" s="86" t="s">
        <v>201</v>
      </c>
      <c r="E8" s="87">
        <v>35815</v>
      </c>
      <c r="G8" s="87">
        <v>35215</v>
      </c>
      <c r="I8" s="87">
        <v>28469</v>
      </c>
      <c r="K8" s="87">
        <v>30854</v>
      </c>
      <c r="M8" s="87">
        <v>30116</v>
      </c>
    </row>
    <row r="9" spans="1:13">
      <c r="A9" s="86" t="s">
        <v>19</v>
      </c>
      <c r="B9" s="85" t="s">
        <v>588</v>
      </c>
      <c r="C9" s="86" t="s">
        <v>829</v>
      </c>
      <c r="E9" s="87">
        <v>43505</v>
      </c>
      <c r="G9" s="87">
        <v>31154</v>
      </c>
      <c r="I9" s="87">
        <v>23151</v>
      </c>
      <c r="K9" s="87">
        <v>33279</v>
      </c>
      <c r="M9" s="87">
        <v>53899</v>
      </c>
    </row>
    <row r="10" spans="1:13">
      <c r="A10" s="86" t="s">
        <v>19</v>
      </c>
      <c r="B10" s="85" t="s">
        <v>588</v>
      </c>
      <c r="C10" s="86" t="s">
        <v>201</v>
      </c>
      <c r="E10" s="87">
        <v>39958</v>
      </c>
      <c r="G10" s="87">
        <v>29766</v>
      </c>
      <c r="I10" s="87">
        <v>24610</v>
      </c>
      <c r="K10" s="87">
        <v>31006</v>
      </c>
      <c r="M10" s="87">
        <v>29803</v>
      </c>
    </row>
    <row r="11" spans="1:13">
      <c r="A11" s="86" t="s">
        <v>19</v>
      </c>
      <c r="B11" s="85" t="s">
        <v>589</v>
      </c>
      <c r="C11" s="86" t="s">
        <v>829</v>
      </c>
      <c r="E11" s="87">
        <v>43301</v>
      </c>
      <c r="G11" s="87">
        <v>40628</v>
      </c>
      <c r="I11" s="87">
        <v>37030</v>
      </c>
      <c r="K11" s="87">
        <v>44216</v>
      </c>
      <c r="M11" s="87">
        <v>63510</v>
      </c>
    </row>
    <row r="12" spans="1:13">
      <c r="A12" s="86" t="s">
        <v>19</v>
      </c>
      <c r="B12" s="85" t="s">
        <v>589</v>
      </c>
      <c r="C12" s="86" t="s">
        <v>201</v>
      </c>
      <c r="E12" s="86">
        <v>217</v>
      </c>
      <c r="G12" s="86">
        <v>140</v>
      </c>
      <c r="I12" s="86">
        <v>214</v>
      </c>
      <c r="K12" s="86">
        <v>282</v>
      </c>
      <c r="M12" s="86">
        <v>209</v>
      </c>
    </row>
    <row r="13" spans="1:13" ht="25">
      <c r="A13" s="86" t="s">
        <v>19</v>
      </c>
      <c r="B13" s="85" t="s">
        <v>752</v>
      </c>
      <c r="C13" s="86" t="s">
        <v>829</v>
      </c>
      <c r="E13" s="87">
        <v>17812</v>
      </c>
      <c r="G13" s="87">
        <v>26406</v>
      </c>
      <c r="I13" s="87">
        <v>19991</v>
      </c>
      <c r="K13" s="87">
        <v>27553</v>
      </c>
      <c r="M13" s="87">
        <v>18999</v>
      </c>
    </row>
    <row r="14" spans="1:13" ht="25">
      <c r="A14" s="86" t="s">
        <v>19</v>
      </c>
      <c r="B14" s="85" t="s">
        <v>752</v>
      </c>
      <c r="C14" s="86" t="s">
        <v>201</v>
      </c>
      <c r="E14" s="86">
        <v>321</v>
      </c>
      <c r="G14" s="86">
        <v>235</v>
      </c>
      <c r="I14" s="86">
        <v>397</v>
      </c>
      <c r="K14" s="86">
        <v>255</v>
      </c>
      <c r="M14" s="86">
        <v>221</v>
      </c>
    </row>
    <row r="15" spans="1:13">
      <c r="A15" s="86" t="s">
        <v>19</v>
      </c>
      <c r="B15" s="85" t="s">
        <v>753</v>
      </c>
      <c r="C15" s="86" t="s">
        <v>829</v>
      </c>
      <c r="E15" s="87">
        <v>192025</v>
      </c>
      <c r="G15" s="87">
        <v>154752</v>
      </c>
      <c r="I15" s="87">
        <v>134466</v>
      </c>
      <c r="K15" s="87">
        <v>153550</v>
      </c>
      <c r="M15" s="87">
        <v>211203</v>
      </c>
    </row>
    <row r="16" spans="1:13">
      <c r="A16" s="86" t="s">
        <v>19</v>
      </c>
      <c r="B16" s="85" t="s">
        <v>753</v>
      </c>
      <c r="C16" s="86" t="s">
        <v>201</v>
      </c>
      <c r="E16" s="87">
        <v>100076</v>
      </c>
      <c r="G16" s="87">
        <v>79786</v>
      </c>
      <c r="I16" s="87">
        <v>76167</v>
      </c>
      <c r="K16" s="87">
        <v>84408</v>
      </c>
      <c r="M16" s="87">
        <v>58652</v>
      </c>
    </row>
    <row r="17" spans="1:13" ht="6" customHeight="1"/>
    <row r="18" spans="1:13">
      <c r="A18" s="86" t="s">
        <v>20</v>
      </c>
      <c r="B18" s="85" t="s">
        <v>305</v>
      </c>
      <c r="C18" s="86" t="s">
        <v>829</v>
      </c>
      <c r="E18" s="86">
        <v>242</v>
      </c>
      <c r="G18" s="86">
        <v>162</v>
      </c>
      <c r="I18" s="86">
        <v>188</v>
      </c>
      <c r="K18" s="86">
        <v>301</v>
      </c>
      <c r="M18" s="86">
        <v>418</v>
      </c>
    </row>
    <row r="19" spans="1:13">
      <c r="A19" s="86" t="s">
        <v>20</v>
      </c>
      <c r="B19" s="85" t="s">
        <v>305</v>
      </c>
      <c r="C19" s="86" t="s">
        <v>201</v>
      </c>
      <c r="E19" s="86">
        <v>89</v>
      </c>
      <c r="G19" s="86">
        <v>43</v>
      </c>
      <c r="I19" s="86">
        <v>60</v>
      </c>
      <c r="K19" s="86">
        <v>109</v>
      </c>
      <c r="M19" s="86">
        <v>88</v>
      </c>
    </row>
    <row r="20" spans="1:13">
      <c r="A20" s="86" t="s">
        <v>20</v>
      </c>
      <c r="B20" s="85" t="s">
        <v>436</v>
      </c>
      <c r="C20" s="86" t="s">
        <v>829</v>
      </c>
      <c r="E20" s="86">
        <v>106</v>
      </c>
      <c r="G20" s="86">
        <v>112</v>
      </c>
      <c r="I20" s="86">
        <v>96</v>
      </c>
      <c r="K20" s="86">
        <v>74</v>
      </c>
      <c r="M20" s="86">
        <v>111</v>
      </c>
    </row>
    <row r="21" spans="1:13">
      <c r="A21" s="86" t="s">
        <v>20</v>
      </c>
      <c r="B21" s="85" t="s">
        <v>436</v>
      </c>
      <c r="C21" s="86" t="s">
        <v>201</v>
      </c>
      <c r="E21" s="86">
        <v>72</v>
      </c>
      <c r="G21" s="86">
        <v>83</v>
      </c>
      <c r="I21" s="86">
        <v>78</v>
      </c>
      <c r="K21" s="86">
        <v>56</v>
      </c>
      <c r="M21" s="86">
        <v>52</v>
      </c>
    </row>
    <row r="22" spans="1:13">
      <c r="A22" s="86" t="s">
        <v>20</v>
      </c>
      <c r="B22" s="85" t="s">
        <v>453</v>
      </c>
      <c r="C22" s="86" t="s">
        <v>829</v>
      </c>
      <c r="E22" s="86">
        <v>67</v>
      </c>
      <c r="G22" s="86">
        <v>87</v>
      </c>
      <c r="I22" s="86">
        <v>40</v>
      </c>
      <c r="K22" s="86">
        <v>17</v>
      </c>
      <c r="M22" s="86">
        <v>155</v>
      </c>
    </row>
    <row r="23" spans="1:13">
      <c r="A23" s="86" t="s">
        <v>20</v>
      </c>
      <c r="B23" s="85" t="s">
        <v>453</v>
      </c>
      <c r="C23" s="86" t="s">
        <v>201</v>
      </c>
      <c r="E23" s="86">
        <v>122</v>
      </c>
      <c r="G23" s="86">
        <v>178</v>
      </c>
      <c r="I23" s="86">
        <v>116</v>
      </c>
      <c r="K23" s="86">
        <v>1</v>
      </c>
      <c r="M23" s="86">
        <v>151</v>
      </c>
    </row>
    <row r="24" spans="1:13">
      <c r="A24" s="86" t="s">
        <v>20</v>
      </c>
      <c r="B24" s="85" t="s">
        <v>588</v>
      </c>
      <c r="C24" s="86" t="s">
        <v>829</v>
      </c>
      <c r="E24" s="87">
        <v>4717</v>
      </c>
      <c r="G24" s="87">
        <v>3284</v>
      </c>
      <c r="I24" s="87">
        <v>3170</v>
      </c>
      <c r="K24" s="87">
        <v>5157</v>
      </c>
      <c r="M24" s="87">
        <v>6615</v>
      </c>
    </row>
    <row r="25" spans="1:13">
      <c r="A25" s="86" t="s">
        <v>20</v>
      </c>
      <c r="B25" s="85" t="s">
        <v>588</v>
      </c>
      <c r="C25" s="86" t="s">
        <v>201</v>
      </c>
      <c r="E25" s="87">
        <v>2525</v>
      </c>
      <c r="G25" s="87">
        <v>1526</v>
      </c>
      <c r="I25" s="87">
        <v>1263</v>
      </c>
      <c r="K25" s="87">
        <v>2201</v>
      </c>
      <c r="M25" s="87">
        <v>1921</v>
      </c>
    </row>
    <row r="26" spans="1:13">
      <c r="A26" s="86" t="s">
        <v>20</v>
      </c>
      <c r="B26" s="85" t="s">
        <v>589</v>
      </c>
      <c r="C26" s="86" t="s">
        <v>829</v>
      </c>
      <c r="E26" s="87">
        <v>107180</v>
      </c>
      <c r="G26" s="87">
        <v>114495</v>
      </c>
      <c r="I26" s="87">
        <v>98758</v>
      </c>
      <c r="K26" s="87">
        <v>106269</v>
      </c>
      <c r="M26" s="87">
        <v>120699</v>
      </c>
    </row>
    <row r="27" spans="1:13">
      <c r="A27" s="86" t="s">
        <v>20</v>
      </c>
      <c r="B27" s="85" t="s">
        <v>589</v>
      </c>
      <c r="C27" s="86" t="s">
        <v>201</v>
      </c>
      <c r="E27" s="86">
        <v>239</v>
      </c>
      <c r="G27" s="86">
        <v>262</v>
      </c>
      <c r="I27" s="86">
        <v>230</v>
      </c>
      <c r="K27" s="86">
        <v>370</v>
      </c>
      <c r="M27" s="86">
        <v>341</v>
      </c>
    </row>
    <row r="28" spans="1:13" ht="25">
      <c r="A28" s="86" t="s">
        <v>20</v>
      </c>
      <c r="B28" s="85" t="s">
        <v>752</v>
      </c>
      <c r="C28" s="86" t="s">
        <v>829</v>
      </c>
      <c r="E28" s="86">
        <v>179</v>
      </c>
      <c r="G28" s="86">
        <v>316</v>
      </c>
      <c r="I28" s="86">
        <v>293</v>
      </c>
      <c r="K28" s="86">
        <v>214</v>
      </c>
      <c r="M28" s="86">
        <v>352</v>
      </c>
    </row>
    <row r="29" spans="1:13" ht="25">
      <c r="A29" s="86" t="s">
        <v>20</v>
      </c>
      <c r="B29" s="85" t="s">
        <v>752</v>
      </c>
      <c r="C29" s="86" t="s">
        <v>201</v>
      </c>
      <c r="E29" s="86">
        <v>7</v>
      </c>
      <c r="G29" s="86">
        <v>19</v>
      </c>
      <c r="I29" s="86">
        <v>96</v>
      </c>
      <c r="K29" s="86">
        <v>159</v>
      </c>
      <c r="M29" s="86">
        <v>184</v>
      </c>
    </row>
    <row r="30" spans="1:13">
      <c r="A30" s="86" t="s">
        <v>20</v>
      </c>
      <c r="B30" s="85" t="s">
        <v>753</v>
      </c>
      <c r="C30" s="86" t="s">
        <v>829</v>
      </c>
      <c r="E30" s="87">
        <v>3367</v>
      </c>
      <c r="G30" s="87">
        <v>3962</v>
      </c>
      <c r="I30" s="87">
        <v>5142</v>
      </c>
      <c r="K30" s="87">
        <v>5604</v>
      </c>
      <c r="M30" s="87">
        <v>5830</v>
      </c>
    </row>
    <row r="31" spans="1:13">
      <c r="A31" s="86" t="s">
        <v>20</v>
      </c>
      <c r="B31" s="85" t="s">
        <v>753</v>
      </c>
      <c r="C31" s="86" t="s">
        <v>201</v>
      </c>
      <c r="E31" s="87">
        <v>1855</v>
      </c>
      <c r="G31" s="87">
        <v>1578</v>
      </c>
      <c r="I31" s="87">
        <v>2639</v>
      </c>
      <c r="K31" s="87">
        <v>2364</v>
      </c>
      <c r="M31" s="87">
        <v>1612</v>
      </c>
    </row>
    <row r="32" spans="1:13" ht="7.5" customHeight="1">
      <c r="A32" s="88"/>
      <c r="B32" s="89"/>
      <c r="C32" s="88"/>
      <c r="D32" s="88"/>
      <c r="E32" s="88"/>
      <c r="F32" s="88"/>
      <c r="G32" s="88"/>
      <c r="H32" s="88"/>
      <c r="I32" s="88"/>
      <c r="J32" s="88"/>
      <c r="K32" s="88"/>
      <c r="L32" s="88"/>
      <c r="M32" s="88"/>
    </row>
    <row r="33" spans="1:1" ht="7.5" customHeight="1"/>
    <row r="34" spans="1:1" ht="7.5" customHeight="1"/>
    <row r="35" spans="1:1">
      <c r="A35" s="90" t="str">
        <f>HYPERLINK("[UKMY 2023 PrintableV1.1 12_09_24.xlsx]Contents!A1","Return to contents page")</f>
        <v>Return to contents page</v>
      </c>
    </row>
  </sheetData>
  <sortState xmlns:xlrd2="http://schemas.microsoft.com/office/spreadsheetml/2017/richdata2" ref="A3:M31">
    <sortCondition ref="A18:A31"/>
    <sortCondition ref="B18:B31"/>
  </sortState>
  <pageMargins left="0.7" right="0.7" top="0.75" bottom="0.75" header="0.3" footer="0.3"/>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4551B-DE89-4E03-911D-77674D5FFD34}">
  <dimension ref="A1:M64"/>
  <sheetViews>
    <sheetView view="pageBreakPreview" zoomScaleNormal="100" zoomScaleSheetLayoutView="100" workbookViewId="0">
      <selection activeCell="B6" sqref="B6"/>
    </sheetView>
  </sheetViews>
  <sheetFormatPr defaultColWidth="9.1796875" defaultRowHeight="14"/>
  <cols>
    <col min="1" max="1" width="12.81640625" style="73" customWidth="1"/>
    <col min="2" max="2" width="53" style="73" bestFit="1" customWidth="1"/>
    <col min="3" max="3" width="15.26953125" style="73" bestFit="1" customWidth="1"/>
    <col min="4" max="4" width="3.453125" style="73" bestFit="1" customWidth="1"/>
    <col min="5" max="5" width="6.1796875" style="73" bestFit="1" customWidth="1"/>
    <col min="6" max="6" width="3.453125" style="73" bestFit="1" customWidth="1"/>
    <col min="7" max="7" width="6.1796875" style="73" bestFit="1" customWidth="1"/>
    <col min="8" max="8" width="3.453125" style="73" bestFit="1" customWidth="1"/>
    <col min="9" max="9" width="6.1796875" style="73" bestFit="1" customWidth="1"/>
    <col min="10" max="10" width="3.453125" style="73" bestFit="1" customWidth="1"/>
    <col min="11" max="11" width="6.1796875" style="73" bestFit="1" customWidth="1"/>
    <col min="12" max="12" width="3.453125" style="73" bestFit="1" customWidth="1"/>
    <col min="13" max="13" width="7.26953125" style="73" bestFit="1" customWidth="1"/>
    <col min="14" max="16384" width="9.1796875" style="73"/>
  </cols>
  <sheetData>
    <row r="1" spans="1:13" ht="15.5">
      <c r="A1" s="72" t="s">
        <v>590</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729</v>
      </c>
      <c r="C3" s="73" t="s">
        <v>829</v>
      </c>
      <c r="D3" s="73" t="s">
        <v>209</v>
      </c>
      <c r="E3" s="75">
        <v>2008</v>
      </c>
      <c r="F3" s="73" t="s">
        <v>209</v>
      </c>
      <c r="G3" s="75">
        <v>2031</v>
      </c>
      <c r="H3" s="73" t="s">
        <v>209</v>
      </c>
      <c r="I3" s="75">
        <v>1237</v>
      </c>
      <c r="J3" s="73" t="s">
        <v>209</v>
      </c>
      <c r="K3" s="75">
        <v>1520</v>
      </c>
      <c r="L3" s="73" t="s">
        <v>209</v>
      </c>
      <c r="M3" s="75">
        <v>3313</v>
      </c>
    </row>
    <row r="4" spans="1:13">
      <c r="A4" s="73" t="s">
        <v>19</v>
      </c>
      <c r="B4" s="73" t="s">
        <v>729</v>
      </c>
      <c r="C4" s="73" t="s">
        <v>201</v>
      </c>
      <c r="D4" s="73" t="s">
        <v>209</v>
      </c>
      <c r="E4" s="75">
        <v>9319</v>
      </c>
      <c r="F4" s="73" t="s">
        <v>209</v>
      </c>
      <c r="G4" s="75">
        <v>9773</v>
      </c>
      <c r="H4" s="73" t="s">
        <v>209</v>
      </c>
      <c r="I4" s="75">
        <v>6511</v>
      </c>
      <c r="J4" s="73" t="s">
        <v>209</v>
      </c>
      <c r="K4" s="75">
        <v>6984</v>
      </c>
      <c r="L4" s="73" t="s">
        <v>209</v>
      </c>
      <c r="M4" s="75">
        <v>10745</v>
      </c>
    </row>
    <row r="5" spans="1:13">
      <c r="A5" s="73" t="s">
        <v>19</v>
      </c>
      <c r="B5" s="73" t="s">
        <v>739</v>
      </c>
      <c r="C5" s="73" t="s">
        <v>829</v>
      </c>
      <c r="D5" s="73" t="s">
        <v>205</v>
      </c>
      <c r="E5" s="75">
        <v>3054</v>
      </c>
      <c r="F5" s="73" t="s">
        <v>205</v>
      </c>
      <c r="G5" s="75">
        <v>2906</v>
      </c>
      <c r="H5" s="73" t="s">
        <v>205</v>
      </c>
      <c r="I5" s="75">
        <v>2367</v>
      </c>
      <c r="J5" s="73" t="s">
        <v>205</v>
      </c>
      <c r="K5" s="75">
        <v>2462</v>
      </c>
      <c r="L5" s="73" t="s">
        <v>205</v>
      </c>
      <c r="M5" s="75">
        <v>3096</v>
      </c>
    </row>
    <row r="6" spans="1:13">
      <c r="A6" s="73" t="s">
        <v>19</v>
      </c>
      <c r="B6" s="73" t="s">
        <v>739</v>
      </c>
      <c r="C6" s="73" t="s">
        <v>201</v>
      </c>
      <c r="D6" s="73" t="s">
        <v>205</v>
      </c>
      <c r="E6" s="75">
        <v>9805</v>
      </c>
      <c r="F6" s="73" t="s">
        <v>205</v>
      </c>
      <c r="G6" s="75">
        <v>8634</v>
      </c>
      <c r="H6" s="73" t="s">
        <v>205</v>
      </c>
      <c r="I6" s="75">
        <v>6856</v>
      </c>
      <c r="J6" s="73" t="s">
        <v>205</v>
      </c>
      <c r="K6" s="75">
        <v>7867</v>
      </c>
      <c r="L6" s="73" t="s">
        <v>205</v>
      </c>
      <c r="M6" s="75">
        <v>7209</v>
      </c>
    </row>
    <row r="7" spans="1:13">
      <c r="A7" s="73" t="s">
        <v>19</v>
      </c>
      <c r="B7" s="73" t="s">
        <v>591</v>
      </c>
      <c r="C7" s="73" t="s">
        <v>829</v>
      </c>
      <c r="E7" s="75">
        <v>2264</v>
      </c>
      <c r="G7" s="75">
        <v>1611</v>
      </c>
      <c r="I7" s="75">
        <v>1052</v>
      </c>
      <c r="K7" s="75">
        <v>1189</v>
      </c>
      <c r="M7" s="75">
        <v>2258</v>
      </c>
    </row>
    <row r="8" spans="1:13">
      <c r="A8" s="73" t="s">
        <v>19</v>
      </c>
      <c r="B8" s="73" t="s">
        <v>591</v>
      </c>
      <c r="C8" s="73" t="s">
        <v>201</v>
      </c>
      <c r="E8" s="75">
        <v>3405</v>
      </c>
      <c r="G8" s="75">
        <v>3308</v>
      </c>
      <c r="I8" s="75">
        <v>2170</v>
      </c>
      <c r="K8" s="75">
        <v>2083</v>
      </c>
      <c r="M8" s="75">
        <v>2379</v>
      </c>
    </row>
    <row r="10" spans="1:13">
      <c r="A10" s="73" t="s">
        <v>20</v>
      </c>
      <c r="B10" s="73" t="s">
        <v>729</v>
      </c>
      <c r="C10" s="73" t="s">
        <v>829</v>
      </c>
      <c r="D10" s="73" t="s">
        <v>209</v>
      </c>
      <c r="E10" s="73">
        <v>383</v>
      </c>
      <c r="F10" s="73" t="s">
        <v>209</v>
      </c>
      <c r="G10" s="73">
        <v>330</v>
      </c>
      <c r="H10" s="73" t="s">
        <v>209</v>
      </c>
      <c r="I10" s="73">
        <v>210</v>
      </c>
      <c r="J10" s="73" t="s">
        <v>209</v>
      </c>
      <c r="K10" s="73">
        <v>83</v>
      </c>
      <c r="L10" s="73" t="s">
        <v>209</v>
      </c>
      <c r="M10" s="73">
        <v>97</v>
      </c>
    </row>
    <row r="11" spans="1:13">
      <c r="A11" s="73" t="s">
        <v>20</v>
      </c>
      <c r="B11" s="73" t="s">
        <v>729</v>
      </c>
      <c r="C11" s="73" t="s">
        <v>201</v>
      </c>
      <c r="D11" s="73" t="s">
        <v>209</v>
      </c>
      <c r="E11" s="73">
        <v>973</v>
      </c>
      <c r="F11" s="73" t="s">
        <v>209</v>
      </c>
      <c r="G11" s="73">
        <v>792</v>
      </c>
      <c r="H11" s="73" t="s">
        <v>209</v>
      </c>
      <c r="I11" s="73">
        <v>430</v>
      </c>
      <c r="J11" s="73" t="s">
        <v>209</v>
      </c>
      <c r="K11" s="73">
        <v>165</v>
      </c>
      <c r="L11" s="73" t="s">
        <v>209</v>
      </c>
      <c r="M11" s="73">
        <v>157</v>
      </c>
    </row>
    <row r="12" spans="1:13">
      <c r="A12" s="73" t="s">
        <v>20</v>
      </c>
      <c r="B12" s="73" t="s">
        <v>739</v>
      </c>
      <c r="C12" s="73" t="s">
        <v>829</v>
      </c>
      <c r="D12" s="73" t="s">
        <v>205</v>
      </c>
      <c r="E12" s="73">
        <v>196</v>
      </c>
      <c r="F12" s="73" t="s">
        <v>205</v>
      </c>
      <c r="G12" s="73">
        <v>378</v>
      </c>
      <c r="H12" s="73" t="s">
        <v>205</v>
      </c>
      <c r="I12" s="73">
        <v>199</v>
      </c>
      <c r="J12" s="73" t="s">
        <v>205</v>
      </c>
      <c r="K12" s="73">
        <v>494</v>
      </c>
      <c r="L12" s="73" t="s">
        <v>205</v>
      </c>
      <c r="M12" s="73">
        <v>540</v>
      </c>
    </row>
    <row r="13" spans="1:13">
      <c r="A13" s="73" t="s">
        <v>20</v>
      </c>
      <c r="B13" s="73" t="s">
        <v>739</v>
      </c>
      <c r="C13" s="73" t="s">
        <v>201</v>
      </c>
      <c r="D13" s="73" t="s">
        <v>205</v>
      </c>
      <c r="E13" s="73">
        <v>648</v>
      </c>
      <c r="F13" s="73" t="s">
        <v>205</v>
      </c>
      <c r="G13" s="73">
        <v>946</v>
      </c>
      <c r="H13" s="73" t="s">
        <v>205</v>
      </c>
      <c r="I13" s="73">
        <v>678</v>
      </c>
      <c r="J13" s="73" t="s">
        <v>205</v>
      </c>
      <c r="K13" s="73">
        <v>734</v>
      </c>
      <c r="L13" s="73" t="s">
        <v>205</v>
      </c>
      <c r="M13" s="73">
        <v>967</v>
      </c>
    </row>
    <row r="14" spans="1:13">
      <c r="A14" s="73" t="s">
        <v>20</v>
      </c>
      <c r="B14" s="73" t="s">
        <v>591</v>
      </c>
      <c r="C14" s="73" t="s">
        <v>829</v>
      </c>
      <c r="E14" s="75">
        <v>2570</v>
      </c>
      <c r="G14" s="75">
        <v>1382</v>
      </c>
      <c r="I14" s="73">
        <v>747</v>
      </c>
      <c r="K14" s="75">
        <v>1499</v>
      </c>
      <c r="M14" s="75">
        <v>2521</v>
      </c>
    </row>
    <row r="15" spans="1:13">
      <c r="A15" s="73" t="s">
        <v>20</v>
      </c>
      <c r="B15" s="73" t="s">
        <v>591</v>
      </c>
      <c r="C15" s="73" t="s">
        <v>201</v>
      </c>
      <c r="E15" s="75">
        <v>1994</v>
      </c>
      <c r="G15" s="73">
        <v>923</v>
      </c>
      <c r="I15" s="73">
        <v>548</v>
      </c>
      <c r="K15" s="75">
        <v>1339</v>
      </c>
      <c r="M15" s="75">
        <v>1248</v>
      </c>
    </row>
    <row r="16" spans="1:13">
      <c r="A16" s="76"/>
      <c r="B16" s="76"/>
      <c r="C16" s="76"/>
      <c r="D16" s="76"/>
      <c r="E16" s="76"/>
      <c r="F16" s="76"/>
      <c r="G16" s="76"/>
      <c r="H16" s="76"/>
      <c r="I16" s="76"/>
      <c r="J16" s="76"/>
      <c r="K16" s="76"/>
      <c r="L16" s="76"/>
      <c r="M16" s="76"/>
    </row>
    <row r="18" spans="1:2">
      <c r="A18" s="73" t="s">
        <v>14</v>
      </c>
      <c r="B18" s="73" t="s">
        <v>15</v>
      </c>
    </row>
    <row r="19" spans="1:2">
      <c r="A19" s="73" t="s">
        <v>214</v>
      </c>
      <c r="B19" s="73" t="s">
        <v>592</v>
      </c>
    </row>
    <row r="20" spans="1:2">
      <c r="A20" s="73" t="s">
        <v>215</v>
      </c>
      <c r="B20" s="73" t="s">
        <v>593</v>
      </c>
    </row>
    <row r="23" spans="1:2">
      <c r="A23" s="77" t="str">
        <f>HYPERLINK("[UKMY 2023 PrintableV1.1 12_09_24.xlsx]Contents!A1","Return to contents page")</f>
        <v>Return to contents page</v>
      </c>
    </row>
    <row r="64" spans="5:5">
      <c r="E64" s="78"/>
    </row>
  </sheetData>
  <sortState xmlns:xlrd2="http://schemas.microsoft.com/office/spreadsheetml/2017/richdata2" ref="A3:M15">
    <sortCondition ref="A10:A15"/>
    <sortCondition ref="B10:B15"/>
  </sortState>
  <pageMargins left="0.7" right="0.7" top="0.75" bottom="0.75" header="0.3" footer="0.3"/>
  <pageSetup paperSize="9" orientation="landscape" r:id="rId1"/>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45495-F102-4462-B164-F191B468764C}">
  <dimension ref="A1:M64"/>
  <sheetViews>
    <sheetView view="pageBreakPreview" topLeftCell="A18" zoomScaleNormal="100" zoomScaleSheetLayoutView="100" workbookViewId="0">
      <selection activeCell="A30" sqref="A30"/>
    </sheetView>
  </sheetViews>
  <sheetFormatPr defaultColWidth="9.1796875" defaultRowHeight="14"/>
  <cols>
    <col min="1" max="1" width="12.1796875" style="73" customWidth="1"/>
    <col min="2" max="2" width="35.54296875" style="73" bestFit="1" customWidth="1"/>
    <col min="3" max="3" width="11.26953125" style="73" bestFit="1" customWidth="1"/>
    <col min="4" max="4" width="3" style="73" bestFit="1" customWidth="1"/>
    <col min="5" max="5" width="11.26953125" style="73" bestFit="1" customWidth="1"/>
    <col min="6" max="6" width="3" style="73" bestFit="1" customWidth="1"/>
    <col min="7" max="7" width="11.26953125" style="73" bestFit="1" customWidth="1"/>
    <col min="8" max="8" width="3" style="73" bestFit="1" customWidth="1"/>
    <col min="9" max="9" width="11.26953125" style="73" bestFit="1" customWidth="1"/>
    <col min="10" max="10" width="3" style="73" bestFit="1" customWidth="1"/>
    <col min="11" max="11" width="11.26953125" style="73" bestFit="1" customWidth="1"/>
    <col min="12" max="12" width="3" style="73" bestFit="1" customWidth="1"/>
    <col min="13" max="13" width="11.26953125" style="73" bestFit="1" customWidth="1"/>
    <col min="14" max="16384" width="9.1796875" style="73"/>
  </cols>
  <sheetData>
    <row r="1" spans="1:13" ht="15.5">
      <c r="A1" s="72" t="s">
        <v>594</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45</v>
      </c>
      <c r="C3" s="73" t="s">
        <v>97</v>
      </c>
      <c r="E3" s="73">
        <v>0</v>
      </c>
      <c r="F3" s="73" t="s">
        <v>221</v>
      </c>
      <c r="G3" s="73">
        <v>130</v>
      </c>
      <c r="H3" s="73" t="s">
        <v>221</v>
      </c>
      <c r="I3" s="73">
        <v>100</v>
      </c>
      <c r="J3" s="73" t="s">
        <v>221</v>
      </c>
      <c r="K3" s="73">
        <v>410</v>
      </c>
      <c r="M3" s="75">
        <v>1340</v>
      </c>
    </row>
    <row r="5" spans="1:13">
      <c r="A5" s="73" t="s">
        <v>19</v>
      </c>
      <c r="B5" s="73" t="s">
        <v>595</v>
      </c>
      <c r="C5" s="73" t="s">
        <v>829</v>
      </c>
      <c r="E5" s="75">
        <v>1511</v>
      </c>
      <c r="G5" s="75">
        <v>1250</v>
      </c>
      <c r="I5" s="73">
        <v>126</v>
      </c>
      <c r="K5" s="73">
        <v>3</v>
      </c>
      <c r="M5" s="73">
        <v>106</v>
      </c>
    </row>
    <row r="6" spans="1:13">
      <c r="A6" s="73" t="s">
        <v>19</v>
      </c>
      <c r="B6" s="73" t="s">
        <v>595</v>
      </c>
      <c r="C6" s="73" t="s">
        <v>273</v>
      </c>
      <c r="E6" s="75">
        <v>78952</v>
      </c>
      <c r="G6" s="75">
        <v>33986</v>
      </c>
      <c r="I6" s="75">
        <v>114266</v>
      </c>
      <c r="K6" s="73">
        <v>0</v>
      </c>
      <c r="M6" s="73">
        <v>311</v>
      </c>
    </row>
    <row r="7" spans="1:13">
      <c r="A7" s="73" t="s">
        <v>19</v>
      </c>
      <c r="B7" s="73" t="s">
        <v>596</v>
      </c>
      <c r="C7" s="73" t="s">
        <v>829</v>
      </c>
      <c r="E7" s="75">
        <v>253134</v>
      </c>
      <c r="G7" s="75">
        <v>46338</v>
      </c>
      <c r="I7" s="75">
        <v>46422</v>
      </c>
      <c r="K7" s="75">
        <v>740520</v>
      </c>
      <c r="M7" s="75">
        <v>450079</v>
      </c>
    </row>
    <row r="8" spans="1:13">
      <c r="A8" s="73" t="s">
        <v>19</v>
      </c>
      <c r="B8" s="73" t="s">
        <v>596</v>
      </c>
      <c r="C8" s="73" t="s">
        <v>273</v>
      </c>
      <c r="E8" s="75">
        <v>1119</v>
      </c>
      <c r="G8" s="73">
        <v>321</v>
      </c>
      <c r="I8" s="73">
        <v>212</v>
      </c>
      <c r="K8" s="73">
        <v>169</v>
      </c>
      <c r="M8" s="75">
        <v>1007958</v>
      </c>
    </row>
    <row r="9" spans="1:13">
      <c r="A9" s="73" t="s">
        <v>19</v>
      </c>
      <c r="B9" s="73" t="s">
        <v>730</v>
      </c>
      <c r="C9" s="73" t="s">
        <v>273</v>
      </c>
      <c r="D9" s="73" t="s">
        <v>209</v>
      </c>
      <c r="E9" s="73">
        <v>230</v>
      </c>
      <c r="F9" s="73" t="s">
        <v>209</v>
      </c>
      <c r="G9" s="73">
        <v>230</v>
      </c>
      <c r="H9" s="73" t="s">
        <v>209</v>
      </c>
      <c r="I9" s="73">
        <v>280</v>
      </c>
      <c r="J9" s="73" t="s">
        <v>209</v>
      </c>
      <c r="K9" s="73">
        <v>340</v>
      </c>
      <c r="L9" s="73" t="s">
        <v>209</v>
      </c>
      <c r="M9" s="73">
        <v>630</v>
      </c>
    </row>
    <row r="10" spans="1:13">
      <c r="A10" s="73" t="s">
        <v>19</v>
      </c>
      <c r="B10" s="73" t="s">
        <v>597</v>
      </c>
      <c r="C10" s="73" t="s">
        <v>829</v>
      </c>
      <c r="E10" s="75">
        <v>1251044</v>
      </c>
      <c r="G10" s="75">
        <v>1230635</v>
      </c>
      <c r="I10" s="75">
        <v>1887047</v>
      </c>
      <c r="K10" s="75">
        <v>3746744</v>
      </c>
      <c r="M10" s="75">
        <v>1346308</v>
      </c>
    </row>
    <row r="11" spans="1:13">
      <c r="A11" s="73" t="s">
        <v>19</v>
      </c>
      <c r="B11" s="73" t="s">
        <v>597</v>
      </c>
      <c r="C11" s="73" t="s">
        <v>273</v>
      </c>
      <c r="E11" s="75">
        <v>3314</v>
      </c>
      <c r="G11" s="75">
        <v>2931</v>
      </c>
      <c r="I11" s="75">
        <v>3546</v>
      </c>
      <c r="K11" s="75">
        <v>6301</v>
      </c>
      <c r="M11" s="75">
        <v>2342800</v>
      </c>
    </row>
    <row r="12" spans="1:13">
      <c r="A12" s="73" t="s">
        <v>19</v>
      </c>
      <c r="B12" s="73" t="s">
        <v>598</v>
      </c>
      <c r="C12" s="73" t="s">
        <v>829</v>
      </c>
      <c r="E12" s="75">
        <v>831182</v>
      </c>
      <c r="G12" s="75">
        <v>1041741</v>
      </c>
      <c r="I12" s="75">
        <v>1924733</v>
      </c>
      <c r="K12" s="75">
        <v>2302666</v>
      </c>
      <c r="M12" s="75">
        <v>1592787</v>
      </c>
    </row>
    <row r="13" spans="1:13">
      <c r="A13" s="73" t="s">
        <v>19</v>
      </c>
      <c r="B13" s="73" t="s">
        <v>598</v>
      </c>
      <c r="C13" s="73" t="s">
        <v>273</v>
      </c>
      <c r="E13" s="75">
        <v>10437642</v>
      </c>
      <c r="G13" s="75">
        <v>9743044</v>
      </c>
      <c r="I13" s="75">
        <v>9797700</v>
      </c>
      <c r="K13" s="75">
        <v>7099137</v>
      </c>
      <c r="M13" s="75">
        <v>5791425</v>
      </c>
    </row>
    <row r="15" spans="1:13">
      <c r="A15" s="73" t="s">
        <v>20</v>
      </c>
      <c r="B15" s="73" t="s">
        <v>595</v>
      </c>
      <c r="C15" s="73" t="s">
        <v>829</v>
      </c>
      <c r="E15" s="75">
        <v>2070</v>
      </c>
      <c r="G15" s="73">
        <v>175</v>
      </c>
      <c r="I15" s="73">
        <v>134</v>
      </c>
      <c r="K15" s="73">
        <v>101</v>
      </c>
      <c r="M15" s="73">
        <v>101</v>
      </c>
    </row>
    <row r="16" spans="1:13">
      <c r="A16" s="73" t="s">
        <v>20</v>
      </c>
      <c r="B16" s="73" t="s">
        <v>595</v>
      </c>
      <c r="C16" s="73" t="s">
        <v>273</v>
      </c>
      <c r="E16" s="75">
        <v>41564</v>
      </c>
      <c r="G16" s="75">
        <v>1667</v>
      </c>
      <c r="I16" s="73">
        <v>600</v>
      </c>
      <c r="K16" s="75">
        <v>1580</v>
      </c>
      <c r="M16" s="73">
        <v>20</v>
      </c>
    </row>
    <row r="17" spans="1:13">
      <c r="A17" s="73" t="s">
        <v>20</v>
      </c>
      <c r="B17" s="73" t="s">
        <v>596</v>
      </c>
      <c r="C17" s="73" t="s">
        <v>829</v>
      </c>
      <c r="E17" s="75">
        <v>70451</v>
      </c>
      <c r="G17" s="75">
        <v>123186</v>
      </c>
      <c r="I17" s="75">
        <v>327993</v>
      </c>
      <c r="K17" s="75">
        <v>325344</v>
      </c>
      <c r="M17" s="75">
        <v>407277</v>
      </c>
    </row>
    <row r="18" spans="1:13">
      <c r="A18" s="73" t="s">
        <v>20</v>
      </c>
      <c r="B18" s="73" t="s">
        <v>596</v>
      </c>
      <c r="C18" s="73" t="s">
        <v>273</v>
      </c>
      <c r="E18" s="73">
        <v>231</v>
      </c>
      <c r="G18" s="73">
        <v>326</v>
      </c>
      <c r="I18" s="73">
        <v>725</v>
      </c>
      <c r="K18" s="73">
        <v>597</v>
      </c>
      <c r="M18" s="75">
        <v>724966</v>
      </c>
    </row>
    <row r="19" spans="1:13">
      <c r="A19" s="73" t="s">
        <v>20</v>
      </c>
      <c r="B19" s="73" t="s">
        <v>597</v>
      </c>
      <c r="C19" s="73" t="s">
        <v>829</v>
      </c>
      <c r="E19" s="75">
        <v>1015074</v>
      </c>
      <c r="G19" s="75">
        <v>811048</v>
      </c>
      <c r="I19" s="75">
        <v>2601521</v>
      </c>
      <c r="K19" s="75">
        <v>2307040</v>
      </c>
      <c r="M19" s="75">
        <v>6181351</v>
      </c>
    </row>
    <row r="20" spans="1:13">
      <c r="A20" s="73" t="s">
        <v>20</v>
      </c>
      <c r="B20" s="73" t="s">
        <v>597</v>
      </c>
      <c r="C20" s="73" t="s">
        <v>273</v>
      </c>
      <c r="E20" s="75">
        <v>2697</v>
      </c>
      <c r="G20" s="75">
        <v>2086</v>
      </c>
      <c r="I20" s="75">
        <v>4891</v>
      </c>
      <c r="K20" s="75">
        <v>3792</v>
      </c>
      <c r="M20" s="75">
        <v>11227100</v>
      </c>
    </row>
    <row r="21" spans="1:13">
      <c r="A21" s="73" t="s">
        <v>20</v>
      </c>
      <c r="B21" s="73" t="s">
        <v>598</v>
      </c>
      <c r="C21" s="73" t="s">
        <v>829</v>
      </c>
      <c r="E21" s="75">
        <v>311851</v>
      </c>
      <c r="G21" s="75">
        <v>477268</v>
      </c>
      <c r="I21" s="75">
        <v>988430</v>
      </c>
      <c r="K21" s="75">
        <v>819284</v>
      </c>
      <c r="M21" s="75">
        <v>413063</v>
      </c>
    </row>
    <row r="22" spans="1:13">
      <c r="A22" s="73" t="s">
        <v>20</v>
      </c>
      <c r="B22" s="73" t="s">
        <v>598</v>
      </c>
      <c r="C22" s="73" t="s">
        <v>273</v>
      </c>
      <c r="E22" s="75">
        <v>11640318</v>
      </c>
      <c r="G22" s="75">
        <v>11608845</v>
      </c>
      <c r="I22" s="75">
        <v>10116611</v>
      </c>
      <c r="K22" s="75">
        <v>52284848</v>
      </c>
      <c r="M22" s="75">
        <v>8530352</v>
      </c>
    </row>
    <row r="23" spans="1:13">
      <c r="A23" s="76"/>
      <c r="B23" s="76"/>
      <c r="C23" s="76"/>
      <c r="D23" s="76"/>
      <c r="E23" s="76"/>
      <c r="F23" s="76"/>
      <c r="G23" s="76"/>
      <c r="H23" s="76"/>
      <c r="I23" s="76"/>
      <c r="J23" s="76"/>
      <c r="K23" s="76"/>
      <c r="L23" s="76"/>
      <c r="M23" s="76"/>
    </row>
    <row r="25" spans="1:13">
      <c r="A25" s="73" t="s">
        <v>14</v>
      </c>
      <c r="B25" s="73" t="s">
        <v>15</v>
      </c>
    </row>
    <row r="26" spans="1:13">
      <c r="A26" s="73" t="s">
        <v>221</v>
      </c>
      <c r="B26" s="73" t="s">
        <v>297</v>
      </c>
    </row>
    <row r="27" spans="1:13">
      <c r="A27" s="73" t="s">
        <v>215</v>
      </c>
      <c r="B27" s="73" t="s">
        <v>777</v>
      </c>
    </row>
    <row r="30" spans="1:13">
      <c r="A30" s="77" t="str">
        <f>HYPERLINK("[UKMY 2023 PrintableV1.1 12_09_24.xlsx]Contents!A1","Return to contents page")</f>
        <v>Return to contents page</v>
      </c>
    </row>
    <row r="64" spans="5:5">
      <c r="E64" s="78"/>
    </row>
  </sheetData>
  <sortState xmlns:xlrd2="http://schemas.microsoft.com/office/spreadsheetml/2017/richdata2" ref="A3:M22">
    <sortCondition ref="A15:A22"/>
    <sortCondition ref="B15:B22"/>
  </sortState>
  <pageMargins left="0.7" right="0.7" top="0.75" bottom="0.75" header="0.3" footer="0.3"/>
  <pageSetup paperSize="9" orientation="landscape" r:id="rId1"/>
  <legacy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D1C5-E9B6-46F8-8513-7C1D088875CA}">
  <dimension ref="A1:M64"/>
  <sheetViews>
    <sheetView view="pageBreakPreview" zoomScaleNormal="100" zoomScaleSheetLayoutView="100" workbookViewId="0">
      <selection activeCell="B7" sqref="B7"/>
    </sheetView>
  </sheetViews>
  <sheetFormatPr defaultColWidth="9" defaultRowHeight="14"/>
  <cols>
    <col min="1" max="1" width="17" style="73" customWidth="1"/>
    <col min="2" max="2" width="30.7265625" style="73" customWidth="1"/>
    <col min="3" max="3" width="15.26953125" style="73" bestFit="1" customWidth="1"/>
    <col min="4" max="4" width="3.54296875" style="73" bestFit="1" customWidth="1"/>
    <col min="5" max="5" width="8.453125" style="73" bestFit="1" customWidth="1"/>
    <col min="6" max="6" width="3.54296875" style="73" bestFit="1" customWidth="1"/>
    <col min="7" max="7" width="8.453125" style="73" bestFit="1" customWidth="1"/>
    <col min="8" max="8" width="3.54296875" style="73" bestFit="1" customWidth="1"/>
    <col min="9" max="9" width="8.453125" style="73" bestFit="1" customWidth="1"/>
    <col min="10" max="10" width="3.54296875" style="73" bestFit="1" customWidth="1"/>
    <col min="11" max="11" width="8.453125" style="73" bestFit="1" customWidth="1"/>
    <col min="12" max="12" width="3.54296875" style="73" bestFit="1" customWidth="1"/>
    <col min="13" max="13" width="8.453125" style="73" bestFit="1" customWidth="1"/>
    <col min="14" max="16384" width="9" style="73"/>
  </cols>
  <sheetData>
    <row r="1" spans="1:13" ht="15.5">
      <c r="A1" s="72" t="s">
        <v>599</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38</v>
      </c>
      <c r="B3" s="73" t="s">
        <v>731</v>
      </c>
      <c r="C3" s="73" t="s">
        <v>201</v>
      </c>
      <c r="D3" s="73" t="s">
        <v>212</v>
      </c>
      <c r="E3" s="75">
        <v>820000</v>
      </c>
      <c r="F3" s="73" t="s">
        <v>212</v>
      </c>
      <c r="G3" s="75">
        <v>160000</v>
      </c>
      <c r="H3" s="73" t="s">
        <v>212</v>
      </c>
      <c r="I3" s="75">
        <v>160000</v>
      </c>
      <c r="J3" s="73" t="s">
        <v>212</v>
      </c>
      <c r="K3" s="75">
        <v>170000</v>
      </c>
      <c r="L3" s="73" t="s">
        <v>212</v>
      </c>
      <c r="M3" s="75">
        <v>170000</v>
      </c>
    </row>
    <row r="5" spans="1:13">
      <c r="A5" s="73" t="s">
        <v>19</v>
      </c>
      <c r="B5" s="73" t="s">
        <v>732</v>
      </c>
      <c r="C5" s="73" t="s">
        <v>829</v>
      </c>
      <c r="D5" s="73" t="s">
        <v>209</v>
      </c>
      <c r="E5" s="75">
        <v>14104</v>
      </c>
      <c r="F5" s="73" t="s">
        <v>209</v>
      </c>
      <c r="G5" s="75">
        <v>11093</v>
      </c>
      <c r="H5" s="73" t="s">
        <v>209</v>
      </c>
      <c r="I5" s="75">
        <v>9920</v>
      </c>
      <c r="J5" s="73" t="s">
        <v>209</v>
      </c>
      <c r="K5" s="75">
        <v>15397</v>
      </c>
      <c r="L5" s="73" t="s">
        <v>209</v>
      </c>
      <c r="M5" s="75">
        <v>16388</v>
      </c>
    </row>
    <row r="6" spans="1:13">
      <c r="A6" s="73" t="s">
        <v>19</v>
      </c>
      <c r="B6" s="73" t="s">
        <v>732</v>
      </c>
      <c r="C6" s="73" t="s">
        <v>201</v>
      </c>
      <c r="D6" s="73" t="s">
        <v>209</v>
      </c>
      <c r="E6" s="75">
        <v>30327</v>
      </c>
      <c r="F6" s="73" t="s">
        <v>209</v>
      </c>
      <c r="G6" s="75">
        <v>22262</v>
      </c>
      <c r="H6" s="73" t="s">
        <v>209</v>
      </c>
      <c r="I6" s="75">
        <v>23504</v>
      </c>
      <c r="J6" s="73" t="s">
        <v>209</v>
      </c>
      <c r="K6" s="75">
        <v>27890</v>
      </c>
      <c r="L6" s="73" t="s">
        <v>209</v>
      </c>
      <c r="M6" s="75">
        <v>23825</v>
      </c>
    </row>
    <row r="7" spans="1:13">
      <c r="A7" s="73" t="s">
        <v>19</v>
      </c>
      <c r="B7" s="73" t="s">
        <v>600</v>
      </c>
      <c r="C7" s="73" t="s">
        <v>829</v>
      </c>
      <c r="E7" s="75">
        <v>60586</v>
      </c>
      <c r="G7" s="75">
        <v>65597</v>
      </c>
      <c r="I7" s="75">
        <v>64581</v>
      </c>
      <c r="K7" s="75">
        <v>79463</v>
      </c>
      <c r="M7" s="75">
        <v>133044</v>
      </c>
    </row>
    <row r="8" spans="1:13">
      <c r="A8" s="73" t="s">
        <v>19</v>
      </c>
      <c r="B8" s="73" t="s">
        <v>600</v>
      </c>
      <c r="C8" s="73" t="s">
        <v>201</v>
      </c>
      <c r="E8" s="75">
        <v>127934</v>
      </c>
      <c r="G8" s="75">
        <v>142175</v>
      </c>
      <c r="I8" s="75">
        <v>141755</v>
      </c>
      <c r="K8" s="75">
        <v>160136</v>
      </c>
      <c r="M8" s="75">
        <v>224751</v>
      </c>
    </row>
    <row r="9" spans="1:13">
      <c r="A9" s="73" t="s">
        <v>19</v>
      </c>
      <c r="B9" s="73" t="s">
        <v>731</v>
      </c>
      <c r="C9" s="73" t="s">
        <v>829</v>
      </c>
      <c r="D9" s="73" t="s">
        <v>205</v>
      </c>
      <c r="E9" s="75">
        <v>16544</v>
      </c>
      <c r="F9" s="73" t="s">
        <v>205</v>
      </c>
      <c r="G9" s="75">
        <v>13914</v>
      </c>
      <c r="H9" s="73" t="s">
        <v>205</v>
      </c>
      <c r="I9" s="75">
        <v>12452</v>
      </c>
      <c r="J9" s="73" t="s">
        <v>205</v>
      </c>
      <c r="K9" s="75">
        <v>13739</v>
      </c>
      <c r="L9" s="73" t="s">
        <v>205</v>
      </c>
      <c r="M9" s="75">
        <v>6162</v>
      </c>
    </row>
    <row r="10" spans="1:13">
      <c r="A10" s="73" t="s">
        <v>19</v>
      </c>
      <c r="B10" s="73" t="s">
        <v>731</v>
      </c>
      <c r="C10" s="73" t="s">
        <v>201</v>
      </c>
      <c r="D10" s="73" t="s">
        <v>205</v>
      </c>
      <c r="E10" s="75">
        <v>53167</v>
      </c>
      <c r="F10" s="73" t="s">
        <v>205</v>
      </c>
      <c r="G10" s="75">
        <v>36766</v>
      </c>
      <c r="H10" s="73" t="s">
        <v>205</v>
      </c>
      <c r="I10" s="75">
        <v>29374</v>
      </c>
      <c r="J10" s="73" t="s">
        <v>205</v>
      </c>
      <c r="K10" s="75">
        <v>27045</v>
      </c>
      <c r="L10" s="73" t="s">
        <v>205</v>
      </c>
      <c r="M10" s="75">
        <v>13648</v>
      </c>
    </row>
    <row r="12" spans="1:13">
      <c r="A12" s="73" t="s">
        <v>20</v>
      </c>
      <c r="B12" s="73" t="s">
        <v>732</v>
      </c>
      <c r="C12" s="73" t="s">
        <v>829</v>
      </c>
      <c r="D12" s="73" t="s">
        <v>209</v>
      </c>
      <c r="E12" s="75">
        <v>2681</v>
      </c>
      <c r="F12" s="73" t="s">
        <v>209</v>
      </c>
      <c r="G12" s="75">
        <v>1721</v>
      </c>
      <c r="H12" s="73" t="s">
        <v>209</v>
      </c>
      <c r="I12" s="73">
        <v>971</v>
      </c>
      <c r="J12" s="73" t="s">
        <v>209</v>
      </c>
      <c r="K12" s="75">
        <v>1145</v>
      </c>
      <c r="L12" s="73" t="s">
        <v>209</v>
      </c>
      <c r="M12" s="75">
        <v>2465</v>
      </c>
    </row>
    <row r="13" spans="1:13">
      <c r="A13" s="73" t="s">
        <v>20</v>
      </c>
      <c r="B13" s="73" t="s">
        <v>732</v>
      </c>
      <c r="C13" s="73" t="s">
        <v>201</v>
      </c>
      <c r="D13" s="73" t="s">
        <v>209</v>
      </c>
      <c r="E13" s="75">
        <v>7664</v>
      </c>
      <c r="F13" s="73" t="s">
        <v>209</v>
      </c>
      <c r="G13" s="75">
        <v>2549</v>
      </c>
      <c r="H13" s="73" t="s">
        <v>209</v>
      </c>
      <c r="I13" s="75">
        <v>2285</v>
      </c>
      <c r="J13" s="73" t="s">
        <v>209</v>
      </c>
      <c r="K13" s="75">
        <v>7821</v>
      </c>
      <c r="L13" s="73" t="s">
        <v>209</v>
      </c>
      <c r="M13" s="75">
        <v>5069</v>
      </c>
    </row>
    <row r="14" spans="1:13">
      <c r="A14" s="73" t="s">
        <v>20</v>
      </c>
      <c r="B14" s="73" t="s">
        <v>600</v>
      </c>
      <c r="C14" s="73" t="s">
        <v>829</v>
      </c>
      <c r="E14" s="75">
        <v>4187</v>
      </c>
      <c r="G14" s="75">
        <v>4248</v>
      </c>
      <c r="I14" s="75">
        <v>4536</v>
      </c>
      <c r="K14" s="75">
        <v>6570</v>
      </c>
      <c r="M14" s="75">
        <v>6006</v>
      </c>
    </row>
    <row r="15" spans="1:13">
      <c r="A15" s="73" t="s">
        <v>20</v>
      </c>
      <c r="B15" s="73" t="s">
        <v>600</v>
      </c>
      <c r="C15" s="73" t="s">
        <v>201</v>
      </c>
      <c r="E15" s="75">
        <v>5656</v>
      </c>
      <c r="G15" s="75">
        <v>6311</v>
      </c>
      <c r="I15" s="75">
        <v>6556</v>
      </c>
      <c r="K15" s="75">
        <v>8148</v>
      </c>
      <c r="M15" s="75">
        <v>5803</v>
      </c>
    </row>
    <row r="16" spans="1:13">
      <c r="A16" s="73" t="s">
        <v>20</v>
      </c>
      <c r="B16" s="73" t="s">
        <v>731</v>
      </c>
      <c r="C16" s="73" t="s">
        <v>829</v>
      </c>
      <c r="D16" s="73" t="s">
        <v>205</v>
      </c>
      <c r="E16" s="75">
        <v>2460</v>
      </c>
      <c r="F16" s="73" t="s">
        <v>205</v>
      </c>
      <c r="G16" s="75">
        <v>2136</v>
      </c>
      <c r="H16" s="73" t="s">
        <v>205</v>
      </c>
      <c r="I16" s="73">
        <v>505</v>
      </c>
      <c r="J16" s="73" t="s">
        <v>205</v>
      </c>
      <c r="K16" s="73">
        <v>568</v>
      </c>
      <c r="L16" s="73" t="s">
        <v>205</v>
      </c>
      <c r="M16" s="73">
        <v>503</v>
      </c>
    </row>
    <row r="17" spans="1:13">
      <c r="A17" s="73" t="s">
        <v>20</v>
      </c>
      <c r="B17" s="73" t="s">
        <v>731</v>
      </c>
      <c r="C17" s="73" t="s">
        <v>201</v>
      </c>
      <c r="D17" s="73" t="s">
        <v>205</v>
      </c>
      <c r="E17" s="75">
        <v>101972</v>
      </c>
      <c r="F17" s="73" t="s">
        <v>205</v>
      </c>
      <c r="G17" s="75">
        <v>92960</v>
      </c>
      <c r="H17" s="73" t="s">
        <v>205</v>
      </c>
      <c r="I17" s="73">
        <v>435</v>
      </c>
      <c r="J17" s="73" t="s">
        <v>205</v>
      </c>
      <c r="K17" s="73">
        <v>787</v>
      </c>
      <c r="L17" s="73" t="s">
        <v>205</v>
      </c>
      <c r="M17" s="73">
        <v>506</v>
      </c>
    </row>
    <row r="18" spans="1:13">
      <c r="A18" s="76"/>
      <c r="B18" s="76"/>
      <c r="C18" s="76"/>
      <c r="D18" s="76"/>
      <c r="E18" s="76"/>
      <c r="F18" s="76"/>
      <c r="G18" s="76"/>
      <c r="H18" s="76"/>
      <c r="I18" s="76"/>
      <c r="J18" s="76"/>
      <c r="K18" s="76"/>
      <c r="L18" s="76"/>
      <c r="M18" s="76"/>
    </row>
    <row r="20" spans="1:13">
      <c r="A20" s="73" t="s">
        <v>14</v>
      </c>
      <c r="B20" s="73" t="s">
        <v>15</v>
      </c>
    </row>
    <row r="21" spans="1:13">
      <c r="A21" s="73" t="s">
        <v>214</v>
      </c>
      <c r="B21" s="73" t="s">
        <v>601</v>
      </c>
    </row>
    <row r="22" spans="1:13">
      <c r="A22" s="73" t="s">
        <v>215</v>
      </c>
      <c r="B22" s="73" t="s">
        <v>602</v>
      </c>
    </row>
    <row r="23" spans="1:13">
      <c r="A23" s="73" t="s">
        <v>216</v>
      </c>
      <c r="B23" s="73" t="s">
        <v>121</v>
      </c>
    </row>
    <row r="26" spans="1:13">
      <c r="A26" s="77" t="str">
        <f>HYPERLINK("[UKMY 2023 PrintableV1.1 12_09_24.xlsx]Contents!A1","Return to contents page")</f>
        <v>Return to contents page</v>
      </c>
    </row>
    <row r="64" spans="5:5">
      <c r="E64" s="78"/>
    </row>
  </sheetData>
  <sortState xmlns:xlrd2="http://schemas.microsoft.com/office/spreadsheetml/2017/richdata2" ref="A3:M17">
    <sortCondition descending="1" ref="A3:A17"/>
    <sortCondition ref="B3:B17"/>
  </sortState>
  <pageMargins left="0.7" right="0.7" top="0.75" bottom="0.75" header="0.3" footer="0.3"/>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B7BA-84F0-460D-A72D-1BB74B8E97AD}">
  <dimension ref="A1:M64"/>
  <sheetViews>
    <sheetView view="pageBreakPreview" zoomScaleNormal="100" zoomScaleSheetLayoutView="100" workbookViewId="0">
      <selection activeCell="B5" sqref="B5"/>
    </sheetView>
  </sheetViews>
  <sheetFormatPr defaultColWidth="9.1796875" defaultRowHeight="14"/>
  <cols>
    <col min="1" max="1" width="21.1796875" style="73" customWidth="1"/>
    <col min="2" max="2" width="26.26953125" style="73" bestFit="1" customWidth="1"/>
    <col min="3" max="3" width="15.26953125" style="73" bestFit="1" customWidth="1"/>
    <col min="4" max="4" width="2.1796875" style="73" bestFit="1" customWidth="1"/>
    <col min="5" max="5" width="5.54296875" style="73" bestFit="1" customWidth="1"/>
    <col min="6" max="6" width="2.1796875" style="73" bestFit="1" customWidth="1"/>
    <col min="7" max="7" width="5.54296875" style="73" bestFit="1" customWidth="1"/>
    <col min="8" max="8" width="2.1796875" style="73" bestFit="1" customWidth="1"/>
    <col min="9" max="9" width="5.54296875" style="73" bestFit="1" customWidth="1"/>
    <col min="10" max="10" width="2.1796875" style="73" bestFit="1" customWidth="1"/>
    <col min="11" max="11" width="5.54296875" style="73" bestFit="1" customWidth="1"/>
    <col min="12" max="12" width="2.1796875" style="73" bestFit="1" customWidth="1"/>
    <col min="13" max="13" width="6.1796875" style="73" bestFit="1" customWidth="1"/>
    <col min="14" max="16384" width="9.1796875" style="73"/>
  </cols>
  <sheetData>
    <row r="1" spans="1:13" ht="15.5">
      <c r="A1" s="72" t="s">
        <v>603</v>
      </c>
    </row>
    <row r="2" spans="1:13">
      <c r="A2" s="74" t="s">
        <v>670</v>
      </c>
      <c r="B2" s="74" t="s">
        <v>0</v>
      </c>
      <c r="C2" s="74" t="s">
        <v>669</v>
      </c>
      <c r="D2" s="74" t="s">
        <v>1</v>
      </c>
      <c r="E2" s="74">
        <v>2018</v>
      </c>
      <c r="F2" s="74" t="s">
        <v>1</v>
      </c>
      <c r="G2" s="74">
        <v>2019</v>
      </c>
      <c r="H2" s="74" t="s">
        <v>1</v>
      </c>
      <c r="I2" s="74">
        <v>2020</v>
      </c>
      <c r="J2" s="74" t="s">
        <v>1</v>
      </c>
      <c r="K2" s="74">
        <v>2021</v>
      </c>
      <c r="L2" s="74" t="s">
        <v>1</v>
      </c>
      <c r="M2" s="74">
        <v>2022</v>
      </c>
    </row>
    <row r="3" spans="1:13">
      <c r="A3" s="73" t="s">
        <v>19</v>
      </c>
      <c r="B3" s="73" t="s">
        <v>604</v>
      </c>
      <c r="C3" s="73" t="s">
        <v>829</v>
      </c>
      <c r="E3" s="73">
        <v>166</v>
      </c>
      <c r="G3" s="73">
        <v>164</v>
      </c>
      <c r="I3" s="73">
        <v>100</v>
      </c>
      <c r="K3" s="73">
        <v>143</v>
      </c>
      <c r="M3" s="75">
        <v>1024</v>
      </c>
    </row>
    <row r="4" spans="1:13">
      <c r="A4" s="73" t="s">
        <v>19</v>
      </c>
      <c r="B4" s="73" t="s">
        <v>604</v>
      </c>
      <c r="C4" s="73" t="s">
        <v>201</v>
      </c>
      <c r="E4" s="73">
        <v>219</v>
      </c>
      <c r="G4" s="73">
        <v>225</v>
      </c>
      <c r="I4" s="73">
        <v>97</v>
      </c>
      <c r="K4" s="73">
        <v>185</v>
      </c>
      <c r="M4" s="73">
        <v>472</v>
      </c>
    </row>
    <row r="6" spans="1:13">
      <c r="A6" s="73" t="s">
        <v>20</v>
      </c>
      <c r="B6" s="73" t="s">
        <v>604</v>
      </c>
      <c r="C6" s="73" t="s">
        <v>829</v>
      </c>
      <c r="E6" s="73">
        <v>28</v>
      </c>
      <c r="G6" s="73">
        <v>107</v>
      </c>
      <c r="I6" s="73">
        <v>3</v>
      </c>
      <c r="K6" s="73">
        <v>6</v>
      </c>
      <c r="M6" s="73">
        <v>48</v>
      </c>
    </row>
    <row r="7" spans="1:13">
      <c r="A7" s="73" t="s">
        <v>20</v>
      </c>
      <c r="B7" s="73" t="s">
        <v>604</v>
      </c>
      <c r="C7" s="73" t="s">
        <v>201</v>
      </c>
      <c r="E7" s="73">
        <v>0</v>
      </c>
      <c r="G7" s="73">
        <v>1</v>
      </c>
      <c r="I7" s="73">
        <v>0</v>
      </c>
      <c r="K7" s="73">
        <v>1</v>
      </c>
      <c r="M7" s="73">
        <v>23</v>
      </c>
    </row>
    <row r="8" spans="1:13">
      <c r="A8" s="76"/>
      <c r="B8" s="76"/>
      <c r="C8" s="76"/>
      <c r="D8" s="76"/>
      <c r="E8" s="76"/>
      <c r="F8" s="76"/>
      <c r="G8" s="76"/>
      <c r="H8" s="76"/>
      <c r="I8" s="76"/>
      <c r="J8" s="76"/>
      <c r="K8" s="76"/>
      <c r="L8" s="76"/>
      <c r="M8" s="76"/>
    </row>
    <row r="11" spans="1:13">
      <c r="A11" s="77" t="str">
        <f>HYPERLINK("[UKMY 2023 PrintableV1.1 12_09_24.xlsx]Contents!A1","Return to contents page")</f>
        <v>Return to contents page</v>
      </c>
    </row>
    <row r="64" spans="5:5">
      <c r="E64" s="78"/>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110</vt:i4>
      </vt:variant>
      <vt:variant>
        <vt:lpstr>Named Ranges</vt:lpstr>
      </vt:variant>
      <vt:variant>
        <vt:i4>3</vt:i4>
      </vt:variant>
    </vt:vector>
  </HeadingPairs>
  <TitlesOfParts>
    <vt:vector size="113" baseType="lpstr">
      <vt:lpstr>Title</vt:lpstr>
      <vt:lpstr>Explanatory notes</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105</vt:lpstr>
      <vt:lpstr>104</vt:lpstr>
      <vt:lpstr>106</vt:lpstr>
      <vt:lpstr>107</vt:lpstr>
      <vt:lpstr>Contents!Print_Area</vt:lpstr>
      <vt:lpstr>'Explanatory notes'!Print_Area</vt:lpstr>
      <vt:lpstr>Title!Print_Area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Raycraft - BGS</dc:creator>
  <cp:lastModifiedBy>Anne Dixon - BGS</cp:lastModifiedBy>
  <dcterms:created xsi:type="dcterms:W3CDTF">2024-04-09T13:43:39Z</dcterms:created>
  <dcterms:modified xsi:type="dcterms:W3CDTF">2024-09-19T12:24:28Z</dcterms:modified>
</cp:coreProperties>
</file>